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codeName="EstaPastaDeTrabalho"/>
  <mc:AlternateContent xmlns:mc="http://schemas.openxmlformats.org/markup-compatibility/2006">
    <mc:Choice Requires="x15">
      <x15ac:absPath xmlns:x15ac="http://schemas.microsoft.com/office/spreadsheetml/2010/11/ac" url="U:\Editais_VALIDADOS\PQR\Perola\sam42_recape\lote_02\"/>
    </mc:Choice>
  </mc:AlternateContent>
  <xr:revisionPtr revIDLastSave="0" documentId="13_ncr:1_{75E48599-462F-4A97-99D7-1677553224D6}" xr6:coauthVersionLast="47" xr6:coauthVersionMax="47" xr10:uidLastSave="{00000000-0000-0000-0000-000000000000}"/>
  <bookViews>
    <workbookView xWindow="-120" yWindow="-120" windowWidth="29040" windowHeight="15840" tabRatio="886" xr2:uid="{00000000-000D-0000-FFFF-FFFF00000000}"/>
  </bookViews>
  <sheets>
    <sheet name="planilha de serviços" sheetId="1" r:id="rId1"/>
    <sheet name="ENSAIOS DE ORÇAMENTO" sheetId="2" state="hidden" r:id="rId2"/>
  </sheets>
  <externalReferences>
    <externalReference r:id="rId3"/>
    <externalReference r:id="rId4"/>
    <externalReference r:id="rId5"/>
  </externalReferences>
  <definedNames>
    <definedName name="___xlnm.Print_Area_2">#REF!</definedName>
    <definedName name="___xlnm.Print_Titles_2">#REF!</definedName>
    <definedName name="___xlnm.Print_Titles_3">#REF!</definedName>
    <definedName name="__Anonymous_Sheet_DB__0">#REF!</definedName>
    <definedName name="__xlnm.Print_Area_2">#REF!</definedName>
    <definedName name="__xlnm.Print_Area_3">#REF!</definedName>
    <definedName name="__xlnm.Print_Area_3_1">#REF!</definedName>
    <definedName name="__xlnm.Print_Titles_2">#REF!</definedName>
    <definedName name="__xlnm.Print_Titles_3">#REF!</definedName>
    <definedName name="_xlnm._FilterDatabase" localSheetId="1" hidden="1">'ENSAIOS DE ORÇAMENTO'!$A$4:$Z$4</definedName>
    <definedName name="_xlnm._FilterDatabase" localSheetId="0" hidden="1">'planilha de serviços'!$A$7:$I$33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1">'ENSAIOS DE ORÇAMENTO'!#REF!</definedName>
    <definedName name="_xlnm.Print_Area" localSheetId="0">'planilha de serviços'!$B$1:$I$34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>#REF!</definedName>
    <definedName name="cot">#REF!</definedName>
    <definedName name="COTAÇÃO">#REF!</definedName>
    <definedName name="crono">#REF!</definedName>
    <definedName name="CRONO_ADD">#REF!</definedName>
    <definedName name="CRONO_RES">#REF!</definedName>
    <definedName name="d">[1]proposta!#REF!</definedName>
    <definedName name="DadosExternos10_1">#REF!</definedName>
    <definedName name="DadosExternos10_1_1">#REF!</definedName>
    <definedName name="DadosExternos11_1">#REF!</definedName>
    <definedName name="DadosExternos11_1_1">#REF!</definedName>
    <definedName name="DadosExternos11_2_1">#REF!</definedName>
    <definedName name="DadosExternos12_1">#REF!</definedName>
    <definedName name="DadosExternos12_1_1">#REF!</definedName>
    <definedName name="DadosExternos12_2_1">#REF!</definedName>
    <definedName name="DadosExternos13_1">#REF!</definedName>
    <definedName name="DadosExternos13_1_1">#REF!</definedName>
    <definedName name="DadosExternos13_2_1">#REF!</definedName>
    <definedName name="DadosExternos14_1">#REF!</definedName>
    <definedName name="DadosExternos14_1_1">#REF!</definedName>
    <definedName name="DadosExternos14_2_1">#REF!</definedName>
    <definedName name="DadosExternos15_1">#REF!</definedName>
    <definedName name="DadosExternos15_1_1">#REF!</definedName>
    <definedName name="DadosExternos15_2_1">#REF!</definedName>
    <definedName name="DadosExternos15_3_1">#REF!</definedName>
    <definedName name="DadosExternos16_1">#REF!</definedName>
    <definedName name="DadosExternos16_1_1">#REF!</definedName>
    <definedName name="DadosExternos16_2_1">#REF!</definedName>
    <definedName name="DadosExternos17_1">#REF!</definedName>
    <definedName name="DadosExternos17_1_1">#REF!</definedName>
    <definedName name="DadosExternos17_2_1">#REF!</definedName>
    <definedName name="DadosExternos17_3_1">#REF!</definedName>
    <definedName name="DadosExternos18_1">#REF!</definedName>
    <definedName name="DadosExternos18_1_1">#REF!</definedName>
    <definedName name="DadosExternos18_10_1">#REF!</definedName>
    <definedName name="DadosExternos18_2_1">#REF!</definedName>
    <definedName name="DadosExternos18_3_1">#REF!</definedName>
    <definedName name="DadosExternos18_4_1">#REF!</definedName>
    <definedName name="DadosExternos18_5_1">#REF!</definedName>
    <definedName name="DadosExternos18_6_1">#REF!</definedName>
    <definedName name="DadosExternos18_7_1">#REF!</definedName>
    <definedName name="DadosExternos18_8_1">#REF!</definedName>
    <definedName name="DadosExternos18_9_1">#REF!</definedName>
    <definedName name="DadosExternos19_1">#REF!</definedName>
    <definedName name="DadosExternos19_1_1">#REF!</definedName>
    <definedName name="DadosExternos19_2_1">#REF!</definedName>
    <definedName name="DadosExternos19_3_1">#REF!</definedName>
    <definedName name="DadosExternos2_1">#REF!</definedName>
    <definedName name="DadosExternos2_1_1">#REF!</definedName>
    <definedName name="DadosExternos20_1">#REF!</definedName>
    <definedName name="DadosExternos20_1_1">#REF!</definedName>
    <definedName name="DadosExternos20_2_1">#REF!</definedName>
    <definedName name="DadosExternos20_3_1">#REF!</definedName>
    <definedName name="DadosExternos21_1">#REF!</definedName>
    <definedName name="DadosExternos21_1_1">#REF!</definedName>
    <definedName name="DadosExternos21_2_1">#REF!</definedName>
    <definedName name="DadosExternos22_1">#REF!</definedName>
    <definedName name="DadosExternos22_1_1">#REF!</definedName>
    <definedName name="DadosExternos22_2_1">#REF!</definedName>
    <definedName name="DadosExternos22_3_1">#REF!</definedName>
    <definedName name="DadosExternos23_1">#REF!</definedName>
    <definedName name="DadosExternos23_1_1">#REF!</definedName>
    <definedName name="DadosExternos23_2_1">#REF!</definedName>
    <definedName name="DadosExternos23_3_1">#REF!</definedName>
    <definedName name="DadosExternos24_1">#REF!</definedName>
    <definedName name="DadosExternos24_1_1">#REF!</definedName>
    <definedName name="DadosExternos24_2_1">#REF!</definedName>
    <definedName name="DadosExternos24_3_1">#REF!</definedName>
    <definedName name="DadosExternos25_1">#REF!</definedName>
    <definedName name="DadosExternos25_1_1">#REF!</definedName>
    <definedName name="DadosExternos25_2_1">#REF!</definedName>
    <definedName name="DadosExternos25_3_1">#REF!</definedName>
    <definedName name="DadosExternos26_1">#REF!</definedName>
    <definedName name="DadosExternos26_1_1">#REF!</definedName>
    <definedName name="DadosExternos26_2_1">#REF!</definedName>
    <definedName name="DadosExternos26_3_1">#REF!</definedName>
    <definedName name="DadosExternos27_1">#REF!</definedName>
    <definedName name="DadosExternos27_1_1">#REF!</definedName>
    <definedName name="DadosExternos27_2_1">#REF!</definedName>
    <definedName name="DadosExternos27_3_1">#REF!</definedName>
    <definedName name="DadosExternos28_1">#REF!</definedName>
    <definedName name="DadosExternos28_1_1">#REF!</definedName>
    <definedName name="DadosExternos28_2_1">#REF!</definedName>
    <definedName name="DadosExternos28_3_1">#REF!</definedName>
    <definedName name="DadosExternos29_1">#REF!</definedName>
    <definedName name="DadosExternos29_1_1">#REF!</definedName>
    <definedName name="DadosExternos29_2_1">#REF!</definedName>
    <definedName name="DadosExternos29_3_1">#REF!</definedName>
    <definedName name="DadosExternos3_1">#REF!</definedName>
    <definedName name="DadosExternos3_1_1">#REF!</definedName>
    <definedName name="DadosExternos30_1">#REF!</definedName>
    <definedName name="DadosExternos30_1_1">#REF!</definedName>
    <definedName name="DadosExternos30_2_1">#REF!</definedName>
    <definedName name="DadosExternos30_3_1">#REF!</definedName>
    <definedName name="DadosExternos31_1">#REF!</definedName>
    <definedName name="DadosExternos31_1_1">#REF!</definedName>
    <definedName name="DadosExternos31_2_1">#REF!</definedName>
    <definedName name="DadosExternos31_3_1">#REF!</definedName>
    <definedName name="DadosExternos32_1">#REF!</definedName>
    <definedName name="DadosExternos32_1_1">#REF!</definedName>
    <definedName name="DadosExternos32_2_1">#REF!</definedName>
    <definedName name="DadosExternos32_3_1">#REF!</definedName>
    <definedName name="DadosExternos33_1">#REF!</definedName>
    <definedName name="DadosExternos33_1_1">#REF!</definedName>
    <definedName name="DadosExternos33_2_1">#REF!</definedName>
    <definedName name="DadosExternos33_3_1">#REF!</definedName>
    <definedName name="DadosExternos34_1">#REF!</definedName>
    <definedName name="DadosExternos34_1_1">#REF!</definedName>
    <definedName name="DadosExternos34_2_1">#REF!</definedName>
    <definedName name="DadosExternos34_3_1">#REF!</definedName>
    <definedName name="DadosExternos35_1">#REF!</definedName>
    <definedName name="DadosExternos35_1_1">#REF!</definedName>
    <definedName name="DadosExternos35_2_1">#REF!</definedName>
    <definedName name="DadosExternos35_3_1">#REF!</definedName>
    <definedName name="DadosExternos36_1">#REF!</definedName>
    <definedName name="DadosExternos36_1_1">#REF!</definedName>
    <definedName name="DadosExternos36_2_1">#REF!</definedName>
    <definedName name="DadosExternos36_3_1">#REF!</definedName>
    <definedName name="DadosExternos37_1">#REF!</definedName>
    <definedName name="DadosExternos37_1_1">#REF!</definedName>
    <definedName name="DadosExternos37_2_1">#REF!</definedName>
    <definedName name="DadosExternos37_3_1">#REF!</definedName>
    <definedName name="DadosExternos38_1">#REF!</definedName>
    <definedName name="DadosExternos38_1_1">#REF!</definedName>
    <definedName name="DadosExternos38_2_1">#REF!</definedName>
    <definedName name="DadosExternos39_1">#REF!</definedName>
    <definedName name="DadosExternos39_1_1">#REF!</definedName>
    <definedName name="DadosExternos4_1">#REF!</definedName>
    <definedName name="DadosExternos4_1_1">#REF!</definedName>
    <definedName name="DadosExternos40_1">#REF!</definedName>
    <definedName name="DadosExternos40_1_1">#REF!</definedName>
    <definedName name="DadosExternos41_1">#REF!</definedName>
    <definedName name="DadosExternos41_1_1">#REF!</definedName>
    <definedName name="DadosExternos41_2_1">#REF!</definedName>
    <definedName name="DadosExternos41_3_1">#REF!</definedName>
    <definedName name="DadosExternos42_1">#REF!</definedName>
    <definedName name="DadosExternos42_1_1">#REF!</definedName>
    <definedName name="DadosExternos42_2_1">#REF!</definedName>
    <definedName name="DadosExternos42_3_1">#REF!</definedName>
    <definedName name="DadosExternos43_1">#REF!</definedName>
    <definedName name="DadosExternos43_1_1">#REF!</definedName>
    <definedName name="DadosExternos43_2_1">#REF!</definedName>
    <definedName name="DadosExternos44_1">#REF!</definedName>
    <definedName name="DadosExternos44_1_1">#REF!</definedName>
    <definedName name="DadosExternos44_2_1">#REF!</definedName>
    <definedName name="DadosExternos44_3_1">#REF!</definedName>
    <definedName name="DadosExternos45_1">#REF!</definedName>
    <definedName name="DadosExternos45_1_1">#REF!</definedName>
    <definedName name="DadosExternos45_2_1">#REF!</definedName>
    <definedName name="DadosExternos46_1">#REF!</definedName>
    <definedName name="DadosExternos46_1_1">#REF!</definedName>
    <definedName name="DadosExternos47_1">#REF!</definedName>
    <definedName name="DadosExternos47_1_1">#REF!</definedName>
    <definedName name="DadosExternos48_1">#REF!</definedName>
    <definedName name="DadosExternos48_1_1">#REF!</definedName>
    <definedName name="DadosExternos48_2_1">#REF!</definedName>
    <definedName name="DadosExternos48_3_1">#REF!</definedName>
    <definedName name="DadosExternos49_1">#REF!</definedName>
    <definedName name="DadosExternos49_1_1">#REF!</definedName>
    <definedName name="DadosExternos49_2_1">#REF!</definedName>
    <definedName name="DadosExternos49_3_1">#REF!</definedName>
    <definedName name="DadosExternos5_1">#REF!</definedName>
    <definedName name="DadosExternos5_1_1">#REF!</definedName>
    <definedName name="DadosExternos50_1">#REF!</definedName>
    <definedName name="DadosExternos50_1_1">#REF!</definedName>
    <definedName name="DadosExternos50_2_1">#REF!</definedName>
    <definedName name="DadosExternos51_1">#REF!</definedName>
    <definedName name="DadosExternos51_1_1">#REF!</definedName>
    <definedName name="DadosExternos52_1">#REF!</definedName>
    <definedName name="DadosExternos52_1_1">#REF!</definedName>
    <definedName name="DadosExternos53_1">#REF!</definedName>
    <definedName name="DadosExternos53_1_1">#REF!</definedName>
    <definedName name="DadosExternos53_2_1">#REF!</definedName>
    <definedName name="DadosExternos53_3_1">#REF!</definedName>
    <definedName name="DadosExternos54_1">#REF!</definedName>
    <definedName name="DadosExternos54_1_1">#REF!</definedName>
    <definedName name="DadosExternos54_2_1">#REF!</definedName>
    <definedName name="DadosExternos54_3_1">#REF!</definedName>
    <definedName name="DadosExternos55_1">#REF!</definedName>
    <definedName name="DadosExternos55_1_1">#REF!</definedName>
    <definedName name="DadosExternos55_2_1">#REF!</definedName>
    <definedName name="DadosExternos55_3_1">#REF!</definedName>
    <definedName name="DadosExternos56_1">#REF!</definedName>
    <definedName name="DadosExternos56_1_1">#REF!</definedName>
    <definedName name="DadosExternos56_2_1">#REF!</definedName>
    <definedName name="DadosExternos56_3_1">#REF!</definedName>
    <definedName name="DadosExternos57_1">#REF!</definedName>
    <definedName name="DadosExternos57_1_1">#REF!</definedName>
    <definedName name="DadosExternos57_2_1">#REF!</definedName>
    <definedName name="DadosExternos57_3_1">#REF!</definedName>
    <definedName name="DadosExternos58_1">#REF!</definedName>
    <definedName name="DadosExternos58_1_1">#REF!</definedName>
    <definedName name="DadosExternos58_2_1">#REF!</definedName>
    <definedName name="DadosExternos58_3_1">#REF!</definedName>
    <definedName name="DadosExternos6_1">#REF!</definedName>
    <definedName name="DadosExternos6_1_1">#REF!</definedName>
    <definedName name="DadosExternos60_1">#REF!</definedName>
    <definedName name="DadosExternos60_1_1">#REF!</definedName>
    <definedName name="DadosExternos60_2_1">#REF!</definedName>
    <definedName name="DadosExternos61_1">#REF!</definedName>
    <definedName name="DadosExternos61_1_1">#REF!</definedName>
    <definedName name="DadosExternos61_2_1">#REF!</definedName>
    <definedName name="DadosExternos61_3_1">#REF!</definedName>
    <definedName name="DadosExternos7_1">#REF!</definedName>
    <definedName name="DadosExternos7_1_1">#REF!</definedName>
    <definedName name="DadosExternos8_1">#REF!</definedName>
    <definedName name="DadosExternos8_1_1">#REF!</definedName>
    <definedName name="DadosExternos9_1">#REF!</definedName>
    <definedName name="DadosExternos9_1_1">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">#REF!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fim_2">[2]MEDIÇÃO!#REF!</definedName>
    <definedName name="ini">'[3] '!#REF!</definedName>
    <definedName name="j">'planilha de serviços'!#REF!</definedName>
    <definedName name="k">"$#REF!.$A$1:$B$2408"</definedName>
    <definedName name="matriz">'[3] '!#REF!</definedName>
    <definedName name="MINUS">#REF!</definedName>
    <definedName name="Plan1">"$#REF!.$A$1:$B$2408"</definedName>
    <definedName name="PLUS">#REF!</definedName>
    <definedName name="po">#REF!</definedName>
    <definedName name="REF">'[3] '!$F$464:$F$489</definedName>
    <definedName name="rere">#REF!</definedName>
    <definedName name="RODAPÉ">[3]Relatório!#REF!</definedName>
    <definedName name="rt">#REF!</definedName>
    <definedName name="S10P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_xlnm.Print_Titles" localSheetId="1">'ENSAIOS DE ORÇAMENTO'!#REF!</definedName>
    <definedName name="_xlnm.Print_Titles" localSheetId="0">'planilha de serviços'!$6:$7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2" l="1"/>
  <c r="J80" i="2" s="1"/>
  <c r="J72" i="2" l="1"/>
  <c r="J73" i="2"/>
  <c r="J81" i="2"/>
  <c r="J74" i="2"/>
  <c r="J82" i="2"/>
  <c r="J75" i="2"/>
  <c r="J83" i="2"/>
  <c r="J84" i="2"/>
  <c r="J77" i="2"/>
  <c r="J76" i="2"/>
  <c r="J78" i="2"/>
  <c r="J79" i="2"/>
  <c r="T2" i="2"/>
  <c r="H84" i="2" l="1"/>
  <c r="G84" i="2"/>
  <c r="F84" i="2"/>
  <c r="E84" i="2"/>
  <c r="H83" i="2"/>
  <c r="G83" i="2"/>
  <c r="F83" i="2"/>
  <c r="E83" i="2"/>
  <c r="H82" i="2"/>
  <c r="G82" i="2"/>
  <c r="F82" i="2"/>
  <c r="E82" i="2"/>
  <c r="H81" i="2"/>
  <c r="G81" i="2"/>
  <c r="F81" i="2"/>
  <c r="E81" i="2"/>
  <c r="H80" i="2"/>
  <c r="G80" i="2"/>
  <c r="F80" i="2"/>
  <c r="E80" i="2"/>
  <c r="H79" i="2"/>
  <c r="G79" i="2"/>
  <c r="F79" i="2"/>
  <c r="E79" i="2"/>
  <c r="H78" i="2"/>
  <c r="G78" i="2"/>
  <c r="F78" i="2"/>
  <c r="E78" i="2"/>
  <c r="H77" i="2"/>
  <c r="G77" i="2"/>
  <c r="F77" i="2"/>
  <c r="E77" i="2"/>
  <c r="H76" i="2"/>
  <c r="G76" i="2"/>
  <c r="F76" i="2"/>
  <c r="E76" i="2"/>
  <c r="H75" i="2"/>
  <c r="G75" i="2"/>
  <c r="F75" i="2"/>
  <c r="E75" i="2"/>
  <c r="H74" i="2"/>
  <c r="G74" i="2"/>
  <c r="F74" i="2"/>
  <c r="E74" i="2"/>
  <c r="H73" i="2"/>
  <c r="G73" i="2"/>
  <c r="F73" i="2"/>
  <c r="E73" i="2"/>
  <c r="H72" i="2"/>
  <c r="G72" i="2"/>
  <c r="F72" i="2"/>
  <c r="E72" i="2"/>
  <c r="H71" i="2"/>
  <c r="G71" i="2"/>
  <c r="F71" i="2"/>
  <c r="E71" i="2"/>
  <c r="H70" i="2"/>
  <c r="G70" i="2"/>
  <c r="F70" i="2"/>
  <c r="E70" i="2"/>
  <c r="H69" i="2"/>
  <c r="G69" i="2"/>
  <c r="F69" i="2"/>
  <c r="E69" i="2"/>
  <c r="H68" i="2"/>
  <c r="G68" i="2"/>
  <c r="F68" i="2"/>
  <c r="E68" i="2"/>
  <c r="H67" i="2"/>
  <c r="G67" i="2"/>
  <c r="F67" i="2"/>
  <c r="E67" i="2"/>
  <c r="H66" i="2"/>
  <c r="G66" i="2"/>
  <c r="F66" i="2"/>
  <c r="E66" i="2"/>
  <c r="E65" i="2"/>
  <c r="E64" i="2"/>
  <c r="E63" i="2"/>
  <c r="E62" i="2"/>
  <c r="E61" i="2"/>
  <c r="E60" i="2"/>
  <c r="E59" i="2"/>
  <c r="E57" i="2"/>
  <c r="E56" i="2"/>
  <c r="E55" i="2"/>
  <c r="E54" i="2"/>
  <c r="E52" i="2"/>
  <c r="E51" i="2"/>
  <c r="E45" i="2"/>
  <c r="E44" i="2"/>
  <c r="E43" i="2"/>
  <c r="E42" i="2"/>
  <c r="E41" i="2"/>
  <c r="E40" i="2"/>
  <c r="E39" i="2"/>
  <c r="E38" i="2"/>
  <c r="E37" i="2"/>
  <c r="E36" i="2"/>
  <c r="E35" i="2"/>
  <c r="E34" i="2"/>
  <c r="E28" i="2"/>
  <c r="E27" i="2"/>
  <c r="E26" i="2"/>
  <c r="E25" i="2"/>
  <c r="E24" i="2"/>
  <c r="E23" i="2"/>
  <c r="E22" i="2"/>
  <c r="E21" i="2"/>
  <c r="E16" i="2"/>
  <c r="E15" i="2"/>
  <c r="E14" i="2"/>
  <c r="E13" i="2"/>
  <c r="E12" i="2"/>
  <c r="E11" i="2"/>
  <c r="H10" i="2"/>
  <c r="G10" i="2"/>
  <c r="F10" i="2"/>
  <c r="E10" i="2"/>
  <c r="E9" i="2"/>
  <c r="H8" i="2"/>
  <c r="H7" i="2"/>
  <c r="H6" i="2"/>
  <c r="H5" i="2"/>
  <c r="L84" i="2" l="1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7" i="2"/>
  <c r="L56" i="2"/>
  <c r="L55" i="2"/>
  <c r="L54" i="2"/>
  <c r="L52" i="2"/>
  <c r="L51" i="2"/>
  <c r="L45" i="2"/>
  <c r="L44" i="2"/>
  <c r="L43" i="2"/>
  <c r="L42" i="2"/>
  <c r="L41" i="2"/>
  <c r="L40" i="2"/>
  <c r="L39" i="2"/>
  <c r="L38" i="2"/>
  <c r="L37" i="2"/>
  <c r="L36" i="2"/>
  <c r="L35" i="2"/>
  <c r="L34" i="2"/>
  <c r="L28" i="2"/>
  <c r="L27" i="2"/>
  <c r="L26" i="2"/>
  <c r="L25" i="2"/>
  <c r="L24" i="2"/>
  <c r="L23" i="2"/>
  <c r="L22" i="2"/>
  <c r="L21" i="2"/>
  <c r="L16" i="2"/>
  <c r="L15" i="2"/>
  <c r="L14" i="2"/>
  <c r="L13" i="2"/>
  <c r="L12" i="2"/>
  <c r="L11" i="2"/>
  <c r="L10" i="2"/>
  <c r="L9" i="2"/>
  <c r="W65" i="2" l="1"/>
  <c r="W64" i="2"/>
  <c r="W63" i="2"/>
  <c r="W50" i="2"/>
  <c r="W49" i="2"/>
  <c r="W48" i="2"/>
  <c r="W47" i="2"/>
  <c r="W46" i="2"/>
  <c r="W26" i="2"/>
  <c r="W20" i="2"/>
  <c r="W19" i="2"/>
  <c r="W18" i="2"/>
  <c r="W17" i="2"/>
  <c r="W16" i="2"/>
  <c r="W28" i="2" s="1"/>
  <c r="W15" i="2"/>
  <c r="W27" i="2" s="1"/>
  <c r="W13" i="2"/>
  <c r="W25" i="2" s="1"/>
  <c r="N5" i="2" l="1"/>
  <c r="T5" i="2"/>
  <c r="N6" i="2"/>
  <c r="O6" i="2"/>
  <c r="N7" i="2"/>
  <c r="T7" i="2"/>
  <c r="N8" i="2"/>
  <c r="T8" i="2"/>
  <c r="R9" i="2"/>
  <c r="R11" i="2"/>
  <c r="R12" i="2"/>
  <c r="P13" i="2"/>
  <c r="R13" i="2"/>
  <c r="R25" i="2" s="1"/>
  <c r="N14" i="2"/>
  <c r="P14" i="2"/>
  <c r="P15" i="2"/>
  <c r="R15" i="2"/>
  <c r="R27" i="2" s="1"/>
  <c r="P16" i="2"/>
  <c r="R16" i="2"/>
  <c r="R28" i="2" s="1"/>
  <c r="P17" i="2"/>
  <c r="R17" i="2"/>
  <c r="P18" i="2"/>
  <c r="R18" i="2"/>
  <c r="P19" i="2"/>
  <c r="R19" i="2"/>
  <c r="P20" i="2"/>
  <c r="R20" i="2"/>
  <c r="P21" i="2"/>
  <c r="P22" i="2"/>
  <c r="R22" i="2"/>
  <c r="P23" i="2"/>
  <c r="P24" i="2"/>
  <c r="R26" i="2"/>
  <c r="N29" i="2"/>
  <c r="O29" i="2"/>
  <c r="T29" i="2"/>
  <c r="N30" i="2"/>
  <c r="O30" i="2"/>
  <c r="T30" i="2"/>
  <c r="N31" i="2"/>
  <c r="O31" i="2"/>
  <c r="T31" i="2"/>
  <c r="N32" i="2"/>
  <c r="O32" i="2"/>
  <c r="T32" i="2"/>
  <c r="N33" i="2"/>
  <c r="O33" i="2"/>
  <c r="T33" i="2"/>
  <c r="R34" i="2"/>
  <c r="R35" i="2"/>
  <c r="R36" i="2"/>
  <c r="R37" i="2"/>
  <c r="R38" i="2"/>
  <c r="N39" i="2"/>
  <c r="R39" i="2"/>
  <c r="N40" i="2"/>
  <c r="R40" i="2"/>
  <c r="N41" i="2"/>
  <c r="R41" i="2"/>
  <c r="N42" i="2"/>
  <c r="R42" i="2"/>
  <c r="N43" i="2"/>
  <c r="R43" i="2"/>
  <c r="N44" i="2"/>
  <c r="R44" i="2"/>
  <c r="N45" i="2"/>
  <c r="R45" i="2"/>
  <c r="N46" i="2"/>
  <c r="O46" i="2"/>
  <c r="R46" i="2"/>
  <c r="T46" i="2"/>
  <c r="N47" i="2"/>
  <c r="O47" i="2"/>
  <c r="R47" i="2"/>
  <c r="T47" i="2"/>
  <c r="N48" i="2"/>
  <c r="O48" i="2"/>
  <c r="Q48" i="2"/>
  <c r="R48" i="2"/>
  <c r="T48" i="2"/>
  <c r="N49" i="2"/>
  <c r="J49" i="2" s="1"/>
  <c r="O49" i="2"/>
  <c r="R49" i="2"/>
  <c r="T49" i="2"/>
  <c r="N50" i="2"/>
  <c r="O50" i="2"/>
  <c r="R50" i="2"/>
  <c r="T50" i="2"/>
  <c r="P51" i="2"/>
  <c r="P52" i="2"/>
  <c r="O53" i="2"/>
  <c r="P53" i="2"/>
  <c r="Q53" i="2"/>
  <c r="T53" i="2"/>
  <c r="P54" i="2"/>
  <c r="P55" i="2"/>
  <c r="N56" i="2"/>
  <c r="R56" i="2"/>
  <c r="N57" i="2"/>
  <c r="R57" i="2"/>
  <c r="N58" i="2"/>
  <c r="O58" i="2"/>
  <c r="Q58" i="2"/>
  <c r="R58" i="2"/>
  <c r="W58" i="2" s="1"/>
  <c r="N59" i="2"/>
  <c r="R59" i="2"/>
  <c r="N60" i="2"/>
  <c r="R60" i="2"/>
  <c r="P61" i="2"/>
  <c r="N63" i="2"/>
  <c r="R63" i="2"/>
  <c r="N64" i="2"/>
  <c r="R64" i="2"/>
  <c r="N65" i="2"/>
  <c r="R65" i="2"/>
  <c r="N66" i="2"/>
  <c r="J66" i="2" s="1"/>
  <c r="N67" i="2"/>
  <c r="J67" i="2" s="1"/>
  <c r="N68" i="2"/>
  <c r="J68" i="2" s="1"/>
  <c r="N69" i="2"/>
  <c r="J69" i="2" s="1"/>
  <c r="N70" i="2"/>
  <c r="J70" i="2" s="1"/>
  <c r="N71" i="2"/>
  <c r="J71" i="2" s="1"/>
  <c r="R32" i="2"/>
  <c r="R52" i="2"/>
  <c r="N37" i="2"/>
  <c r="N36" i="2"/>
  <c r="N38" i="2"/>
  <c r="O7" i="2"/>
  <c r="J64" i="2" l="1"/>
  <c r="J47" i="2"/>
  <c r="J7" i="2"/>
  <c r="H19" i="2"/>
  <c r="J63" i="2"/>
  <c r="J14" i="2"/>
  <c r="J6" i="2"/>
  <c r="J58" i="2"/>
  <c r="J50" i="2"/>
  <c r="J48" i="2"/>
  <c r="J46" i="2"/>
  <c r="J65" i="2"/>
  <c r="R53" i="2"/>
  <c r="H63" i="2"/>
  <c r="F63" i="2"/>
  <c r="G63" i="2"/>
  <c r="H58" i="2"/>
  <c r="H50" i="2"/>
  <c r="H43" i="2"/>
  <c r="G43" i="2"/>
  <c r="F43" i="2"/>
  <c r="W43" i="2"/>
  <c r="J43" i="2" s="1"/>
  <c r="H39" i="2"/>
  <c r="G39" i="2"/>
  <c r="F39" i="2"/>
  <c r="W39" i="2"/>
  <c r="J39" i="2" s="1"/>
  <c r="F15" i="2"/>
  <c r="G15" i="2"/>
  <c r="H15" i="2"/>
  <c r="G58" i="2"/>
  <c r="F58" i="2"/>
  <c r="E58" i="2"/>
  <c r="L58" i="2"/>
  <c r="F50" i="2"/>
  <c r="E50" i="2"/>
  <c r="G50" i="2"/>
  <c r="L50" i="2"/>
  <c r="H48" i="2"/>
  <c r="H46" i="2"/>
  <c r="E33" i="2"/>
  <c r="L33" i="2"/>
  <c r="F14" i="2"/>
  <c r="G14" i="2"/>
  <c r="H14" i="2"/>
  <c r="F6" i="2"/>
  <c r="E6" i="2"/>
  <c r="G6" i="2"/>
  <c r="L6" i="2"/>
  <c r="G48" i="2"/>
  <c r="F48" i="2"/>
  <c r="E48" i="2"/>
  <c r="L48" i="2"/>
  <c r="G46" i="2"/>
  <c r="F46" i="2"/>
  <c r="E46" i="2"/>
  <c r="L46" i="2"/>
  <c r="G42" i="2"/>
  <c r="H42" i="2"/>
  <c r="F42" i="2"/>
  <c r="W42" i="2"/>
  <c r="J42" i="2" s="1"/>
  <c r="E30" i="2"/>
  <c r="L30" i="2"/>
  <c r="H18" i="2"/>
  <c r="H9" i="2"/>
  <c r="G9" i="2"/>
  <c r="F9" i="2"/>
  <c r="G60" i="2"/>
  <c r="H60" i="2"/>
  <c r="F60" i="2"/>
  <c r="W60" i="2"/>
  <c r="J60" i="2" s="1"/>
  <c r="H57" i="2"/>
  <c r="G57" i="2"/>
  <c r="F57" i="2"/>
  <c r="W57" i="2"/>
  <c r="J57" i="2" s="1"/>
  <c r="H53" i="2"/>
  <c r="G38" i="2"/>
  <c r="H38" i="2"/>
  <c r="F38" i="2"/>
  <c r="H22" i="2"/>
  <c r="F22" i="2"/>
  <c r="G22" i="2"/>
  <c r="H65" i="2"/>
  <c r="G65" i="2"/>
  <c r="F65" i="2"/>
  <c r="G53" i="2"/>
  <c r="F53" i="2"/>
  <c r="E53" i="2"/>
  <c r="L53" i="2"/>
  <c r="H49" i="2"/>
  <c r="H45" i="2"/>
  <c r="G45" i="2"/>
  <c r="F45" i="2"/>
  <c r="W45" i="2"/>
  <c r="J45" i="2" s="1"/>
  <c r="H41" i="2"/>
  <c r="F41" i="2"/>
  <c r="G41" i="2"/>
  <c r="W41" i="2"/>
  <c r="J41" i="2" s="1"/>
  <c r="H37" i="2"/>
  <c r="G37" i="2"/>
  <c r="F37" i="2"/>
  <c r="G32" i="2"/>
  <c r="F32" i="2"/>
  <c r="E32" i="2"/>
  <c r="L32" i="2"/>
  <c r="H17" i="2"/>
  <c r="G13" i="2"/>
  <c r="F13" i="2"/>
  <c r="H13" i="2"/>
  <c r="H59" i="2"/>
  <c r="F59" i="2"/>
  <c r="G59" i="2"/>
  <c r="W59" i="2"/>
  <c r="J59" i="2" s="1"/>
  <c r="G56" i="2"/>
  <c r="H56" i="2"/>
  <c r="F56" i="2"/>
  <c r="W56" i="2"/>
  <c r="J56" i="2" s="1"/>
  <c r="H52" i="2"/>
  <c r="G52" i="2"/>
  <c r="F52" i="2"/>
  <c r="G49" i="2"/>
  <c r="F49" i="2"/>
  <c r="E49" i="2"/>
  <c r="L49" i="2"/>
  <c r="H47" i="2"/>
  <c r="H36" i="2"/>
  <c r="G36" i="2"/>
  <c r="F36" i="2"/>
  <c r="E29" i="2"/>
  <c r="L29" i="2"/>
  <c r="G12" i="2"/>
  <c r="H12" i="2"/>
  <c r="F12" i="2"/>
  <c r="G7" i="2"/>
  <c r="F7" i="2"/>
  <c r="E7" i="2"/>
  <c r="L7" i="2"/>
  <c r="H32" i="2"/>
  <c r="W32" i="2"/>
  <c r="W37" i="2" s="1"/>
  <c r="J37" i="2" s="1"/>
  <c r="H64" i="2"/>
  <c r="F64" i="2"/>
  <c r="G64" i="2"/>
  <c r="G47" i="2"/>
  <c r="F47" i="2"/>
  <c r="E47" i="2"/>
  <c r="L47" i="2"/>
  <c r="H44" i="2"/>
  <c r="G44" i="2"/>
  <c r="F44" i="2"/>
  <c r="W44" i="2"/>
  <c r="J44" i="2" s="1"/>
  <c r="G40" i="2"/>
  <c r="H40" i="2"/>
  <c r="F40" i="2"/>
  <c r="W40" i="2"/>
  <c r="J40" i="2" s="1"/>
  <c r="F35" i="2"/>
  <c r="H35" i="2"/>
  <c r="G35" i="2"/>
  <c r="H20" i="2"/>
  <c r="F16" i="2"/>
  <c r="H16" i="2"/>
  <c r="G16" i="2"/>
  <c r="H11" i="2"/>
  <c r="F11" i="2"/>
  <c r="G11" i="2"/>
  <c r="F34" i="2"/>
  <c r="H34" i="2"/>
  <c r="G34" i="2"/>
  <c r="E31" i="2"/>
  <c r="L31" i="2"/>
  <c r="N54" i="2"/>
  <c r="N52" i="2"/>
  <c r="J52" i="2" s="1"/>
  <c r="N51" i="2"/>
  <c r="R29" i="2"/>
  <c r="F29" i="2" s="1"/>
  <c r="R61" i="2"/>
  <c r="G61" i="2" s="1"/>
  <c r="N35" i="2"/>
  <c r="N34" i="2"/>
  <c r="R31" i="2"/>
  <c r="N20" i="2"/>
  <c r="N18" i="2"/>
  <c r="R30" i="2"/>
  <c r="F30" i="2" s="1"/>
  <c r="N19" i="2"/>
  <c r="R33" i="2"/>
  <c r="N13" i="2"/>
  <c r="J13" i="2" s="1"/>
  <c r="N17" i="2"/>
  <c r="O19" i="2"/>
  <c r="P26" i="2"/>
  <c r="R21" i="2"/>
  <c r="G21" i="2" s="1"/>
  <c r="P28" i="2"/>
  <c r="R23" i="2"/>
  <c r="G23" i="2" s="1"/>
  <c r="N26" i="2"/>
  <c r="P62" i="2"/>
  <c r="N53" i="2"/>
  <c r="J53" i="2" s="1"/>
  <c r="R51" i="2"/>
  <c r="F51" i="2" s="1"/>
  <c r="O5" i="2"/>
  <c r="J5" i="2" s="1"/>
  <c r="O8" i="2"/>
  <c r="J8" i="2" s="1"/>
  <c r="R55" i="2"/>
  <c r="H55" i="2" s="1"/>
  <c r="P27" i="2"/>
  <c r="N61" i="2"/>
  <c r="N55" i="2"/>
  <c r="J55" i="2" s="1"/>
  <c r="R54" i="2"/>
  <c r="F54" i="2" s="1"/>
  <c r="N15" i="2"/>
  <c r="J15" i="2" s="1"/>
  <c r="N16" i="2"/>
  <c r="J16" i="2" s="1"/>
  <c r="N10" i="2"/>
  <c r="J10" i="2" s="1"/>
  <c r="R24" i="2"/>
  <c r="G24" i="2" s="1"/>
  <c r="P25" i="2"/>
  <c r="O18" i="2"/>
  <c r="J51" i="2" l="1"/>
  <c r="J54" i="2"/>
  <c r="J26" i="2"/>
  <c r="J19" i="2"/>
  <c r="J32" i="2"/>
  <c r="J18" i="2"/>
  <c r="H24" i="2"/>
  <c r="G54" i="2"/>
  <c r="G25" i="2"/>
  <c r="F25" i="2"/>
  <c r="H25" i="2"/>
  <c r="H33" i="2"/>
  <c r="W33" i="2"/>
  <c r="W38" i="2" s="1"/>
  <c r="J38" i="2" s="1"/>
  <c r="F24" i="2"/>
  <c r="H54" i="2"/>
  <c r="G8" i="2"/>
  <c r="F8" i="2"/>
  <c r="E8" i="2"/>
  <c r="L8" i="2"/>
  <c r="E19" i="2"/>
  <c r="G19" i="2"/>
  <c r="F19" i="2"/>
  <c r="L19" i="2"/>
  <c r="H29" i="2"/>
  <c r="W29" i="2"/>
  <c r="J29" i="2" s="1"/>
  <c r="G29" i="2"/>
  <c r="G30" i="2"/>
  <c r="F61" i="2"/>
  <c r="F33" i="2"/>
  <c r="F5" i="2"/>
  <c r="E5" i="2"/>
  <c r="G5" i="2"/>
  <c r="L5" i="2"/>
  <c r="G28" i="2"/>
  <c r="H28" i="2"/>
  <c r="F28" i="2"/>
  <c r="H31" i="2"/>
  <c r="W31" i="2"/>
  <c r="W36" i="2" s="1"/>
  <c r="J36" i="2" s="1"/>
  <c r="H21" i="2"/>
  <c r="G33" i="2"/>
  <c r="G18" i="2"/>
  <c r="F18" i="2"/>
  <c r="E18" i="2"/>
  <c r="L18" i="2"/>
  <c r="H30" i="2"/>
  <c r="W30" i="2"/>
  <c r="W35" i="2" s="1"/>
  <c r="J35" i="2" s="1"/>
  <c r="W61" i="2"/>
  <c r="J61" i="2" s="1"/>
  <c r="F21" i="2"/>
  <c r="H61" i="2"/>
  <c r="F31" i="2"/>
  <c r="G51" i="2"/>
  <c r="G26" i="2"/>
  <c r="H26" i="2"/>
  <c r="F26" i="2"/>
  <c r="G31" i="2"/>
  <c r="G55" i="2"/>
  <c r="H51" i="2"/>
  <c r="F23" i="2"/>
  <c r="H27" i="2"/>
  <c r="G27" i="2"/>
  <c r="F27" i="2"/>
  <c r="F55" i="2"/>
  <c r="H23" i="2"/>
  <c r="R62" i="2"/>
  <c r="W62" i="2" s="1"/>
  <c r="N9" i="2"/>
  <c r="J9" i="2" s="1"/>
  <c r="O17" i="2"/>
  <c r="J17" i="2" s="1"/>
  <c r="N25" i="2"/>
  <c r="J25" i="2" s="1"/>
  <c r="O20" i="2"/>
  <c r="J20" i="2" s="1"/>
  <c r="N22" i="2"/>
  <c r="J22" i="2" s="1"/>
  <c r="N11" i="2"/>
  <c r="J11" i="2" s="1"/>
  <c r="N27" i="2"/>
  <c r="J27" i="2" s="1"/>
  <c r="N12" i="2"/>
  <c r="J12" i="2" s="1"/>
  <c r="N28" i="2"/>
  <c r="J28" i="2" s="1"/>
  <c r="N62" i="2"/>
  <c r="J62" i="2" s="1"/>
  <c r="J33" i="2" l="1"/>
  <c r="J30" i="2"/>
  <c r="J31" i="2"/>
  <c r="F62" i="2"/>
  <c r="H62" i="2"/>
  <c r="G62" i="2"/>
  <c r="G20" i="2"/>
  <c r="F20" i="2"/>
  <c r="E20" i="2"/>
  <c r="L20" i="2"/>
  <c r="F17" i="2"/>
  <c r="E17" i="2"/>
  <c r="G17" i="2"/>
  <c r="L17" i="2"/>
  <c r="N21" i="2"/>
  <c r="J21" i="2" s="1"/>
  <c r="N24" i="2"/>
  <c r="J24" i="2" s="1"/>
  <c r="N23" i="2"/>
  <c r="J23" i="2" s="1"/>
  <c r="W34" i="2" l="1"/>
  <c r="J34" i="2" s="1"/>
</calcChain>
</file>

<file path=xl/sharedStrings.xml><?xml version="1.0" encoding="utf-8"?>
<sst xmlns="http://schemas.openxmlformats.org/spreadsheetml/2006/main" count="251" uniqueCount="206">
  <si>
    <t>QUANT</t>
  </si>
  <si>
    <t>UNIT</t>
  </si>
  <si>
    <t>( R$ ) - PM</t>
  </si>
  <si>
    <t>m3</t>
  </si>
  <si>
    <t>m2</t>
  </si>
  <si>
    <t>ton</t>
  </si>
  <si>
    <t>un</t>
  </si>
  <si>
    <t>serviço</t>
  </si>
  <si>
    <t>TIJOLO</t>
  </si>
  <si>
    <t>cimen</t>
  </si>
  <si>
    <t>areia</t>
  </si>
  <si>
    <t>brita</t>
  </si>
  <si>
    <t>custo
exec</t>
  </si>
  <si>
    <t>CAL</t>
  </si>
  <si>
    <t>B.L. Símples alvenaria H até 1,20 m</t>
  </si>
  <si>
    <t>B.L. Símples alvenaria H até 1,50 m</t>
  </si>
  <si>
    <t>B.L. Símples alvenaria H até 2,00 m</t>
  </si>
  <si>
    <t>B.L. Símples alvenaria H até 2,50 m</t>
  </si>
  <si>
    <t>C.L. Alvenaria Tubo até 0,80</t>
  </si>
  <si>
    <t>C.L. Alvenaria Tubo até 1,00</t>
  </si>
  <si>
    <t>C.L. Alvenaria Tubo até 1,20</t>
  </si>
  <si>
    <t>K</t>
  </si>
  <si>
    <t>M</t>
  </si>
  <si>
    <t>N</t>
  </si>
  <si>
    <t>O</t>
  </si>
  <si>
    <t>P</t>
  </si>
  <si>
    <t>Q</t>
  </si>
  <si>
    <t>R</t>
  </si>
  <si>
    <t>S</t>
  </si>
  <si>
    <t>C.L. Alvenaria Tubo até 0,40</t>
  </si>
  <si>
    <t>C.L. Alvenaria Tubo até 0,60</t>
  </si>
  <si>
    <t>B.L. Dupla Alvenaria H até 1,20 m</t>
  </si>
  <si>
    <t>B.L. Dupla Alvenaria H até 1,50 m</t>
  </si>
  <si>
    <t>B.L. Dupla Alvenaria H até 2,00 m</t>
  </si>
  <si>
    <t>B.L. Dupla Alvenaria H até 2,50 m</t>
  </si>
  <si>
    <t>B.L. Símples concreto armado H até 1,50 m</t>
  </si>
  <si>
    <t>B.L. Símples concreto armado H até 2,00 m</t>
  </si>
  <si>
    <t>B.L. Símples concreto armado H até 2,50 m</t>
  </si>
  <si>
    <t>B.L. Símples concreto armado H até 1,20 m</t>
  </si>
  <si>
    <t>B.L. Dupla Concreto armado H até 1,50 m</t>
  </si>
  <si>
    <t>B.L. Dupla Concreto armado H até 2,00 m</t>
  </si>
  <si>
    <t>B.L. Dupla Concreto armado H até 2,50 m</t>
  </si>
  <si>
    <t>B.L. Dupla Concreto armado H até 1,20 m</t>
  </si>
  <si>
    <t>P.V. Alvenaria H até 0,80 m Tubo até 0,40 + chaminé 1,00 m</t>
  </si>
  <si>
    <t>P.V. Alvenaria H até 1,00 m Tubo até 0,60 + chaminé 1,00 m</t>
  </si>
  <si>
    <t>P.V. Alvenaria H até 1,30 m Tubo até 0,80 + chaminé 1,00 m</t>
  </si>
  <si>
    <t>P.V. Alvenaria H até 1,50 m Tubo até 1,00 + chaminé 1,00 m</t>
  </si>
  <si>
    <t>P.V. Alvenaria H até 1,80 m Tubo até 1,20 + chaminé 1,00 m</t>
  </si>
  <si>
    <t>P.V. Pré-moldado H até 0,80 m Tubo até 0,40 + chaminé 1,00 m</t>
  </si>
  <si>
    <t>P.V. Pré-moldado H até 1,00 m Tubo até 0,60 + chaminé 1,00 m</t>
  </si>
  <si>
    <t>P.V. Pré-moldado H até 1,30 m Tubo até 0,80 + chaminé 1,00 m</t>
  </si>
  <si>
    <t>P.V. Pré-moldado H até 1,50 m Tubo até 1,00 + chaminé 1,00 m</t>
  </si>
  <si>
    <t>P.V. Pré-moldado H até 1,80 m Tubo até 1,20 + chaminé 1,00 m</t>
  </si>
  <si>
    <t>P.V. Concreto armado H até 0,80 m Tubo até 0,40 + chaminé 1,00 m</t>
  </si>
  <si>
    <t>P.V. Concreto armado H até 1,00 m Tubo até 0,60 + chaminé 1,00 m</t>
  </si>
  <si>
    <t>P.V. Concreto armado H até 1,30 m Tubo até 0,80 + chaminé 1,00 m</t>
  </si>
  <si>
    <t>P.V. Concreto armado H até 1,50 m Tubo até 1,00 + chaminé 1,00 m</t>
  </si>
  <si>
    <t>P.V. Concreto armado H até 1,80 m Tubo até 1,20 + chaminé 1,00 m</t>
  </si>
  <si>
    <t>P.V. Concreto armado H até 2,00 m Tubo até 1,50 + chaminé 1,00 m</t>
  </si>
  <si>
    <t>P.V. Concreto armado H até 2,50 m Tubo até 2,00 + chaminé 1,00 m</t>
  </si>
  <si>
    <t>Dissipador de Energia c/Pedra de Mão tubo ø 1,00</t>
  </si>
  <si>
    <t>Dissipador de Energia c/Pedra de Mão tubo ø 1,20</t>
  </si>
  <si>
    <t>Dissipador de Energia c/Pedra de Mão tubo ø 1,50</t>
  </si>
  <si>
    <t>x</t>
  </si>
  <si>
    <t>DESCRIÇÃO DOS SERVIÇOS</t>
  </si>
  <si>
    <t>UD</t>
  </si>
  <si>
    <t>PLANILHA DE SERVIÇOS   -   PAVIMENTAÇÃO</t>
  </si>
  <si>
    <t>( R$ ) - PM
TOTAIS</t>
  </si>
  <si>
    <t>Município:</t>
  </si>
  <si>
    <t xml:space="preserve">SAM  </t>
  </si>
  <si>
    <t>Projeto :</t>
  </si>
  <si>
    <t xml:space="preserve">LOTE nº </t>
  </si>
  <si>
    <t/>
  </si>
  <si>
    <t>Regularização e Compactação p/ assentamento de calçadas/lajotas/blocos</t>
  </si>
  <si>
    <t>DER</t>
  </si>
  <si>
    <t>4</t>
  </si>
  <si>
    <t>6</t>
  </si>
  <si>
    <t>DER mat</t>
  </si>
  <si>
    <t>Limpeza e Lavagem da pista ( Recape )</t>
  </si>
  <si>
    <t>Rampa para PNE com Piso Tátil (NBR 9050) - Modelo 03 - 5,94 m2</t>
  </si>
  <si>
    <t>605000D</t>
  </si>
  <si>
    <t>Lastro de Brita</t>
  </si>
  <si>
    <t>B.L. Símples pré-moldado H até 1,20 m</t>
  </si>
  <si>
    <t>B.L. Símples pré-moldado H até 1,50 m</t>
  </si>
  <si>
    <t>B.L. Símples pré-moldado H até 2,00 m</t>
  </si>
  <si>
    <t>B.L. Símples pré-moldado H até 2,50 m</t>
  </si>
  <si>
    <t>B.L. Dupla Pré-moldado H até 1,20 m</t>
  </si>
  <si>
    <t>B.L. Dupla Pré-moldado H até 1,50 m</t>
  </si>
  <si>
    <t>B.L. Dupla Pré-moldado H até 2,00 m</t>
  </si>
  <si>
    <t>B.L. Dupla Pré-moldado H até 2,50 m</t>
  </si>
  <si>
    <t>C.L. pré-moldado Tubo até 0,40</t>
  </si>
  <si>
    <t>C.L. pré-moldado Tubo até 0,60</t>
  </si>
  <si>
    <t>C.L. pré-moldado Tubo até 0,80</t>
  </si>
  <si>
    <t>C.L. pré-moldado Tubo até 1,00</t>
  </si>
  <si>
    <t>C.L. pré-moldado Tubo até 1,20</t>
  </si>
  <si>
    <t>C.L. concreto armado Tubo até 0,40</t>
  </si>
  <si>
    <t>C.L. concreto armado Tubo até 0,60</t>
  </si>
  <si>
    <t>C.L. concreto armado Tubo até 0,80</t>
  </si>
  <si>
    <t>C.L. concreto armado Tubo até 1,00</t>
  </si>
  <si>
    <t>C.L. concreto armado Tubo até 1,20</t>
  </si>
  <si>
    <t>C.L. concreto armado Tubo até 1,50</t>
  </si>
  <si>
    <t>C.L. concreto armado Tubo até 2,00</t>
  </si>
  <si>
    <t>Viga de Apoio em concreto marmado Tubo 0,80</t>
  </si>
  <si>
    <t>Viga de Apoio em concreto marmado Tubo 1,00</t>
  </si>
  <si>
    <t>Viga de Apoio em concreto marmado Tubo 1,20</t>
  </si>
  <si>
    <t>Dissipador de Energia c/Pedra de Mão tubo ø 0, 40</t>
  </si>
  <si>
    <t>Dissipador de Energia c/Pedra de Mão tubo ø 0, 60</t>
  </si>
  <si>
    <t>Dissipador de Energia c/Pedra de Mão tubo ø 0, 80</t>
  </si>
  <si>
    <t>ENSAIO DE ORÇAMENTO 1</t>
  </si>
  <si>
    <t>ENSAIO DE ORÇAMENTO 2</t>
  </si>
  <si>
    <t>ENSAIO DE ORÇAMENTO 3</t>
  </si>
  <si>
    <t>ENSAIO DE ORÇAMENTO 4</t>
  </si>
  <si>
    <t>ENSAIO DE ORÇAMENTO 5</t>
  </si>
  <si>
    <t>ENSAIO DE ORÇAMENTO 6</t>
  </si>
  <si>
    <t>ENSAIO DE ORÇAMENTO 7</t>
  </si>
  <si>
    <t>ENSAIO DE ORÇAMENTO 8</t>
  </si>
  <si>
    <t>ENSAIO DE ORÇAMENTO 9</t>
  </si>
  <si>
    <t>ENSAIO DE ORÇAMENTO 10</t>
  </si>
  <si>
    <t>Código</t>
  </si>
  <si>
    <t>Orígem</t>
  </si>
  <si>
    <t>7</t>
  </si>
  <si>
    <t>REVESTIMENTO</t>
  </si>
  <si>
    <t>SERVIÇOS PRELIMINARES</t>
  </si>
  <si>
    <t>SINALIZAÇÃO DE TRÂNSITO</t>
  </si>
  <si>
    <t xml:space="preserve">Faixa de Sinalização Horizontal c/tinta resina acrílica base solvente- (0,034 m2/m2) </t>
  </si>
  <si>
    <t>1</t>
  </si>
  <si>
    <t>Local da Obra :</t>
  </si>
  <si>
    <t>11</t>
  </si>
  <si>
    <t>74022/27</t>
  </si>
  <si>
    <t>Ensaio de Controle de Taxa de Aplicação de Ligante Betuminoso</t>
  </si>
  <si>
    <t>Ensaio de Percentagem de Betume - Misturas Betuminosas</t>
  </si>
  <si>
    <t>74022/53</t>
  </si>
  <si>
    <t>Ensaio de Controle do Grau de Compactação da Mistura Asfáltica</t>
  </si>
  <si>
    <t>Ensaio de Densidade do Material Betuminoso</t>
  </si>
  <si>
    <t>gb</t>
  </si>
  <si>
    <t>DAER/RS</t>
  </si>
  <si>
    <t>Extração de corpo de prova de concreto asfáltico com sonda rotativa</t>
  </si>
  <si>
    <t>Mobilização e desmobilização de equipamento e equipe para extração de corpos de prova da capa asfáltica.</t>
  </si>
  <si>
    <t xml:space="preserve">     </t>
  </si>
  <si>
    <t>Calçada Concreto ( e = 6,00 cm )</t>
  </si>
  <si>
    <t>ENSAIOS TECNOLÓGICOS</t>
  </si>
  <si>
    <t>tampão
161125</t>
  </si>
  <si>
    <t>Pintura de ligação com RR-1C - exclusive emulsão</t>
  </si>
  <si>
    <t>Fornecimento de emulsão RR-1C - pintura de ligaçãp</t>
  </si>
  <si>
    <t>SERVIÇOS DE URBANIZAÇÃO</t>
  </si>
  <si>
    <t>SINAPI</t>
  </si>
  <si>
    <t>T</t>
  </si>
  <si>
    <t>561100A</t>
  </si>
  <si>
    <t>589420B</t>
  </si>
  <si>
    <t>589000H</t>
  </si>
  <si>
    <t>589000I</t>
  </si>
  <si>
    <t>l.</t>
  </si>
  <si>
    <t>U</t>
  </si>
  <si>
    <t>V</t>
  </si>
  <si>
    <t>W</t>
  </si>
  <si>
    <t>X</t>
  </si>
  <si>
    <t>PAV-085</t>
  </si>
  <si>
    <t>74209/1</t>
  </si>
  <si>
    <t>PLACA DE OBRA 4,00 X 2,00 M, EM CHAPA DE ACO GALVANIZADO, INCLUSIVE ARMAÇÃO EM MADEIRA E PONTALETES</t>
  </si>
  <si>
    <t>570000A</t>
  </si>
  <si>
    <t>570000B</t>
  </si>
  <si>
    <t>603900C</t>
  </si>
  <si>
    <t>100576B</t>
  </si>
  <si>
    <t>605000H</t>
  </si>
  <si>
    <t xml:space="preserve">                                                                                                           </t>
  </si>
  <si>
    <t xml:space="preserve">                           </t>
  </si>
  <si>
    <t>(Os custos com mobilização e desmobilização de equipe e equipamentos para a extração de amostras para os ensaios tecnológicos, exceto da capa asfáltica, serão de responsabilidade da empresa executora da obra.)</t>
  </si>
  <si>
    <t>ORÇAMENTO</t>
  </si>
  <si>
    <t xml:space="preserve">PREÇO GLOBAL    </t>
  </si>
  <si>
    <t>Fornecimento de CAP - CBUQ (Quantidade menor que 10.000 ton)</t>
  </si>
  <si>
    <t>SEIL</t>
  </si>
  <si>
    <t>Tabela Referência: DER/PR de FEVEREIRO/2023 sem desoneração</t>
  </si>
  <si>
    <r>
      <t>CBUQ - Reperfilamento</t>
    </r>
    <r>
      <rPr>
        <sz val="8"/>
        <rFont val="Arial"/>
        <family val="2"/>
      </rPr>
      <t xml:space="preserve"> (Quantidade menor que 10.000 ton)</t>
    </r>
  </si>
  <si>
    <t xml:space="preserve">Data Base da aprovação do Orçamento (Decreto 10.086/22 do Paraná, que regulamenta a Lei 14.133/21): </t>
  </si>
  <si>
    <t>PAV-089</t>
  </si>
  <si>
    <t>PM Curitiba-abr/22</t>
  </si>
  <si>
    <t>09.04.01</t>
  </si>
  <si>
    <t>09.04.04</t>
  </si>
  <si>
    <t>09.01</t>
  </si>
  <si>
    <t>09.05.02</t>
  </si>
  <si>
    <t>ORSE - jan/23</t>
  </si>
  <si>
    <t>COMPOSIÇÃO 00051</t>
  </si>
  <si>
    <t>Preços Unitários dos Insumos</t>
  </si>
  <si>
    <t>CICLÓP 11
mpa m3
606000</t>
  </si>
  <si>
    <t>forma
   m2
602000</t>
  </si>
  <si>
    <t>TIJOLO
M3
100020</t>
  </si>
  <si>
    <t>tubo ø60
180600</t>
  </si>
  <si>
    <t>Preços DER-PR - Fev/2023 - Materiais sem desoneração ===&gt;</t>
  </si>
  <si>
    <t>Preços DER-PR - Ago/2022 - Materiais sem desoneração ===&gt;</t>
  </si>
  <si>
    <t>Pedra Argamassada m3
603600</t>
  </si>
  <si>
    <t>concr
magr
605000</t>
  </si>
  <si>
    <t>Concr
11 Mpa
605200</t>
  </si>
  <si>
    <t>Concr
15 Mpa
605300</t>
  </si>
  <si>
    <t>Concr
18 Mpa
605400</t>
  </si>
  <si>
    <t>argamassa
M2
604100</t>
  </si>
  <si>
    <t>aço
CA-25
602600</t>
  </si>
  <si>
    <t>aço
CA-50
603000</t>
  </si>
  <si>
    <t>aço
CA-60
603300</t>
  </si>
  <si>
    <t>grade Fe
BL
603100</t>
  </si>
  <si>
    <t>vias diversas</t>
  </si>
  <si>
    <t>PÉROLA</t>
  </si>
  <si>
    <t>Recape de vias urbanas em CBUQ</t>
  </si>
  <si>
    <t>42</t>
  </si>
  <si>
    <r>
      <rPr>
        <b/>
        <sz val="8"/>
        <rFont val="Arial"/>
        <family val="2"/>
      </rPr>
      <t>CBUQ - TRAÇO 1 - CAPA - Faixa "D"</t>
    </r>
    <r>
      <rPr>
        <sz val="8"/>
        <rFont val="Arial"/>
        <family val="2"/>
      </rPr>
      <t xml:space="preserve"> (Quantidade menor que 10.000 ton)</t>
    </r>
  </si>
  <si>
    <t>Data Base da aprovação do Orçamento (Decreto 10.086/22 do Paraná, que regulamenta a Lei 14.133/21):  2/8/2023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</si>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</sst>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&quot;R$&quot;#,##0.00_);\(&quot;R$&quot;#,##0.00\)"/>
    <numFmt numFmtId="166" formatCode="0.000"/>
    <numFmt numFmtId="167" formatCode="0.0000"/>
    <numFmt numFmtId="168" formatCode="_(&quot;Cr$&quot;* #,##0.00_);_(&quot;Cr$&quot;* \(#,##0.00\);_(&quot;Cr$&quot;* &quot;-&quot;??_);_(@_)"/>
    <numFmt numFmtId="169" formatCode="dd/mm/yyyy\ \-\ ddd"/>
  </numFmts>
  <fonts count="17" x14ac:knownFonts="1">
    <font>
      <sz val="8"/>
      <name val="Arial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sz val="10"/>
      <name val="MS Sans Serif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2"/>
      <color rgb="FFFF0000"/>
      <name val="Arial"/>
      <family val="2"/>
    </font>
    <font>
      <b/>
      <sz val="12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2">
    <xf numFmtId="0" fontId="0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1" fillId="0" borderId="0"/>
    <xf numFmtId="0" fontId="13" fillId="0" borderId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" fillId="0" borderId="0"/>
    <xf numFmtId="168" fontId="4" fillId="0" borderId="0" applyFont="0" applyFill="0" applyBorder="0" applyAlignment="0" applyProtection="0"/>
    <xf numFmtId="0" fontId="10" fillId="0" borderId="0"/>
    <xf numFmtId="0" fontId="10" fillId="0" borderId="0"/>
    <xf numFmtId="0" fontId="4" fillId="0" borderId="0"/>
  </cellStyleXfs>
  <cellXfs count="179">
    <xf numFmtId="0" fontId="0" fillId="0" borderId="0" xfId="0"/>
    <xf numFmtId="167" fontId="9" fillId="0" borderId="5" xfId="1" applyNumberFormat="1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9" fillId="0" borderId="0" xfId="0" applyFont="1"/>
    <xf numFmtId="1" fontId="9" fillId="0" borderId="5" xfId="1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7" fillId="0" borderId="8" xfId="0" applyFont="1" applyBorder="1" applyAlignment="1">
      <alignment horizontal="left"/>
    </xf>
    <xf numFmtId="2" fontId="7" fillId="0" borderId="5" xfId="1" applyNumberFormat="1" applyFont="1" applyBorder="1" applyAlignment="1">
      <alignment horizontal="center" wrapText="1"/>
    </xf>
    <xf numFmtId="0" fontId="7" fillId="0" borderId="26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5" xfId="1" applyFont="1" applyBorder="1" applyAlignment="1">
      <alignment horizontal="center"/>
    </xf>
    <xf numFmtId="2" fontId="7" fillId="0" borderId="5" xfId="1" applyNumberFormat="1" applyFont="1" applyBorder="1" applyAlignment="1">
      <alignment horizontal="center"/>
    </xf>
    <xf numFmtId="0" fontId="9" fillId="0" borderId="26" xfId="0" applyFont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7" fillId="0" borderId="5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2" fontId="9" fillId="0" borderId="26" xfId="0" applyNumberFormat="1" applyFont="1" applyBorder="1" applyAlignment="1">
      <alignment horizont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1" applyFont="1"/>
    <xf numFmtId="0" fontId="4" fillId="0" borderId="0" xfId="1"/>
    <xf numFmtId="0" fontId="4" fillId="0" borderId="0" xfId="1" applyAlignment="1">
      <alignment horizontal="center"/>
    </xf>
    <xf numFmtId="0" fontId="5" fillId="0" borderId="0" xfId="1" applyFont="1"/>
    <xf numFmtId="0" fontId="6" fillId="0" borderId="0" xfId="1" applyFont="1"/>
    <xf numFmtId="2" fontId="7" fillId="0" borderId="0" xfId="1" applyNumberFormat="1" applyFont="1" applyAlignment="1">
      <alignment horizontal="center" wrapText="1"/>
    </xf>
    <xf numFmtId="0" fontId="9" fillId="2" borderId="0" xfId="0" applyFont="1" applyFill="1"/>
    <xf numFmtId="1" fontId="9" fillId="2" borderId="5" xfId="1" applyNumberFormat="1" applyFont="1" applyFill="1" applyBorder="1" applyAlignment="1">
      <alignment horizontal="center"/>
    </xf>
    <xf numFmtId="2" fontId="9" fillId="2" borderId="0" xfId="0" applyNumberFormat="1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7" fillId="2" borderId="7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167" fontId="9" fillId="2" borderId="5" xfId="1" applyNumberFormat="1" applyFont="1" applyFill="1" applyBorder="1" applyAlignment="1">
      <alignment horizontal="center"/>
    </xf>
    <xf numFmtId="0" fontId="0" fillId="2" borderId="0" xfId="0" applyFill="1"/>
    <xf numFmtId="0" fontId="9" fillId="3" borderId="0" xfId="0" applyFont="1" applyFill="1"/>
    <xf numFmtId="2" fontId="9" fillId="3" borderId="0" xfId="0" applyNumberFormat="1" applyFont="1" applyFill="1" applyAlignment="1">
      <alignment horizontal="center"/>
    </xf>
    <xf numFmtId="43" fontId="0" fillId="0" borderId="0" xfId="0" applyNumberFormat="1"/>
    <xf numFmtId="2" fontId="7" fillId="0" borderId="7" xfId="1" applyNumberFormat="1" applyFont="1" applyBorder="1" applyAlignment="1">
      <alignment horizontal="center"/>
    </xf>
    <xf numFmtId="164" fontId="2" fillId="0" borderId="2" xfId="3" applyFont="1" applyFill="1" applyBorder="1" applyAlignment="1">
      <alignment vertical="center"/>
    </xf>
    <xf numFmtId="164" fontId="2" fillId="0" borderId="25" xfId="3" applyFont="1" applyFill="1" applyBorder="1" applyAlignment="1">
      <alignment vertical="center"/>
    </xf>
    <xf numFmtId="164" fontId="3" fillId="0" borderId="28" xfId="3" applyFont="1" applyFill="1" applyBorder="1" applyAlignment="1">
      <alignment vertical="center"/>
    </xf>
    <xf numFmtId="164" fontId="3" fillId="0" borderId="29" xfId="3" applyFont="1" applyFill="1" applyBorder="1" applyAlignment="1">
      <alignment vertical="center"/>
    </xf>
    <xf numFmtId="164" fontId="3" fillId="0" borderId="5" xfId="3" applyFont="1" applyFill="1" applyBorder="1" applyAlignment="1">
      <alignment vertical="center"/>
    </xf>
    <xf numFmtId="164" fontId="2" fillId="0" borderId="11" xfId="3" applyFont="1" applyFill="1" applyBorder="1" applyAlignment="1">
      <alignment vertical="center"/>
    </xf>
    <xf numFmtId="164" fontId="2" fillId="0" borderId="9" xfId="3" applyFont="1" applyFill="1" applyBorder="1" applyAlignment="1">
      <alignment vertical="center"/>
    </xf>
    <xf numFmtId="164" fontId="2" fillId="0" borderId="10" xfId="3" applyFont="1" applyFill="1" applyBorder="1" applyAlignment="1">
      <alignment vertical="center"/>
    </xf>
    <xf numFmtId="0" fontId="3" fillId="0" borderId="0" xfId="0" quotePrefix="1" applyFont="1"/>
    <xf numFmtId="0" fontId="14" fillId="0" borderId="0" xfId="0" applyFont="1" applyAlignment="1">
      <alignment vertical="center"/>
    </xf>
    <xf numFmtId="164" fontId="16" fillId="0" borderId="0" xfId="3" applyFont="1"/>
    <xf numFmtId="164" fontId="16" fillId="0" borderId="0" xfId="3" applyFont="1" applyAlignment="1">
      <alignment horizontal="right"/>
    </xf>
    <xf numFmtId="164" fontId="16" fillId="0" borderId="0" xfId="3" applyFont="1" applyAlignment="1">
      <alignment horizontal="center"/>
    </xf>
    <xf numFmtId="164" fontId="15" fillId="0" borderId="0" xfId="3" applyFont="1"/>
    <xf numFmtId="164" fontId="15" fillId="0" borderId="0" xfId="3" applyFont="1" applyAlignment="1">
      <alignment horizontal="right"/>
    </xf>
    <xf numFmtId="164" fontId="15" fillId="0" borderId="0" xfId="3" applyFont="1" applyAlignment="1">
      <alignment horizontal="center"/>
    </xf>
    <xf numFmtId="0" fontId="2" fillId="4" borderId="7" xfId="0" applyFont="1" applyFill="1" applyBorder="1" applyAlignment="1" applyProtection="1">
      <alignment horizontal="left"/>
      <protection locked="0"/>
    </xf>
    <xf numFmtId="167" fontId="9" fillId="4" borderId="5" xfId="1" applyNumberFormat="1" applyFont="1" applyFill="1" applyBorder="1" applyAlignment="1" applyProtection="1">
      <alignment horizontal="center"/>
      <protection locked="0"/>
    </xf>
    <xf numFmtId="1" fontId="9" fillId="4" borderId="5" xfId="1" applyNumberFormat="1" applyFont="1" applyFill="1" applyBorder="1" applyAlignment="1" applyProtection="1">
      <alignment horizontal="center"/>
      <protection locked="0"/>
    </xf>
    <xf numFmtId="2" fontId="7" fillId="4" borderId="0" xfId="0" applyNumberFormat="1" applyFont="1" applyFill="1" applyAlignment="1" applyProtection="1">
      <alignment horizontal="center"/>
      <protection locked="0"/>
    </xf>
    <xf numFmtId="166" fontId="7" fillId="4" borderId="0" xfId="0" applyNumberFormat="1" applyFont="1" applyFill="1" applyAlignment="1" applyProtection="1">
      <alignment horizontal="center"/>
      <protection locked="0"/>
    </xf>
    <xf numFmtId="2" fontId="9" fillId="4" borderId="0" xfId="0" applyNumberFormat="1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9" fillId="4" borderId="0" xfId="0" applyFont="1" applyFill="1" applyAlignment="1" applyProtection="1">
      <alignment horizontal="center"/>
      <protection locked="0"/>
    </xf>
    <xf numFmtId="1" fontId="9" fillId="4" borderId="6" xfId="1" applyNumberFormat="1" applyFont="1" applyFill="1" applyBorder="1" applyAlignment="1" applyProtection="1">
      <alignment horizontal="center"/>
      <protection locked="0"/>
    </xf>
    <xf numFmtId="0" fontId="2" fillId="4" borderId="8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25" xfId="0" applyFont="1" applyBorder="1" applyAlignment="1">
      <alignment horizontal="centerContinuous" vertical="center"/>
    </xf>
    <xf numFmtId="0" fontId="4" fillId="0" borderId="32" xfId="0" applyFont="1" applyBorder="1" applyAlignment="1">
      <alignment horizontal="centerContinuous" vertical="center"/>
    </xf>
    <xf numFmtId="0" fontId="4" fillId="0" borderId="0" xfId="0" applyFont="1"/>
    <xf numFmtId="0" fontId="4" fillId="0" borderId="0" xfId="0" applyFont="1" applyAlignment="1">
      <alignment horizontal="left" vertical="center"/>
    </xf>
    <xf numFmtId="49" fontId="2" fillId="0" borderId="19" xfId="0" applyNumberFormat="1" applyFont="1" applyBorder="1" applyAlignment="1">
      <alignment horizontal="left" vertical="center"/>
    </xf>
    <xf numFmtId="0" fontId="2" fillId="0" borderId="43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49" fontId="2" fillId="0" borderId="39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49" fontId="2" fillId="0" borderId="45" xfId="0" applyNumberFormat="1" applyFont="1" applyBorder="1" applyAlignment="1">
      <alignment horizontal="left" vertical="center"/>
    </xf>
    <xf numFmtId="0" fontId="2" fillId="0" borderId="47" xfId="0" applyFont="1" applyBorder="1" applyAlignment="1" applyProtection="1">
      <alignment horizontal="left" vertical="center"/>
      <protection locked="0"/>
    </xf>
    <xf numFmtId="0" fontId="2" fillId="0" borderId="44" xfId="0" applyFont="1" applyBorder="1" applyAlignment="1" applyProtection="1">
      <alignment horizontal="left" vertical="center"/>
      <protection locked="0"/>
    </xf>
    <xf numFmtId="0" fontId="2" fillId="0" borderId="44" xfId="0" applyFont="1" applyBorder="1" applyAlignment="1">
      <alignment horizontal="left" vertical="center"/>
    </xf>
    <xf numFmtId="0" fontId="2" fillId="0" borderId="35" xfId="0" applyFont="1" applyBorder="1" applyAlignment="1">
      <alignment horizontal="left" vertical="center"/>
    </xf>
    <xf numFmtId="49" fontId="2" fillId="0" borderId="35" xfId="0" applyNumberFormat="1" applyFont="1" applyBorder="1" applyAlignment="1" applyProtection="1">
      <alignment horizontal="center" vertical="center"/>
      <protection locked="0"/>
    </xf>
    <xf numFmtId="49" fontId="2" fillId="0" borderId="42" xfId="0" applyNumberFormat="1" applyFont="1" applyBorder="1" applyAlignment="1">
      <alignment horizontal="left" vertical="center"/>
    </xf>
    <xf numFmtId="0" fontId="2" fillId="0" borderId="46" xfId="0" applyFont="1" applyBorder="1" applyAlignment="1">
      <alignment horizontal="left" vertical="center"/>
    </xf>
    <xf numFmtId="0" fontId="2" fillId="0" borderId="46" xfId="0" applyFont="1" applyBorder="1" applyAlignment="1" applyProtection="1">
      <alignment horizontal="left" vertical="center"/>
      <protection locked="0"/>
    </xf>
    <xf numFmtId="0" fontId="2" fillId="0" borderId="48" xfId="0" applyFont="1" applyBorder="1" applyAlignment="1">
      <alignment horizontal="right" vertical="center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Continuous" vertical="center" wrapText="1"/>
    </xf>
    <xf numFmtId="0" fontId="2" fillId="0" borderId="37" xfId="1" applyFont="1" applyBorder="1" applyAlignment="1">
      <alignment horizontal="center" vertical="center"/>
    </xf>
    <xf numFmtId="0" fontId="2" fillId="0" borderId="11" xfId="0" applyFont="1" applyBorder="1" applyAlignment="1">
      <alignment horizontal="centerContinuous" vertical="center"/>
    </xf>
    <xf numFmtId="0" fontId="2" fillId="0" borderId="9" xfId="0" applyFont="1" applyBorder="1" applyAlignment="1">
      <alignment horizontal="centerContinuous" vertical="center"/>
    </xf>
    <xf numFmtId="0" fontId="2" fillId="0" borderId="12" xfId="0" applyFont="1" applyBorder="1" applyAlignment="1">
      <alignment horizontal="centerContinuous" vertical="center"/>
    </xf>
    <xf numFmtId="0" fontId="6" fillId="0" borderId="0" xfId="0" applyFont="1" applyAlignment="1">
      <alignment horizontal="left" wrapText="1"/>
    </xf>
    <xf numFmtId="0" fontId="3" fillId="0" borderId="13" xfId="0" quotePrefix="1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4" xfId="1" applyFont="1" applyBorder="1"/>
    <xf numFmtId="2" fontId="3" fillId="0" borderId="38" xfId="1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165" fontId="2" fillId="0" borderId="27" xfId="1" applyNumberFormat="1" applyFont="1" applyBorder="1" applyAlignment="1">
      <alignment horizontal="center" vertical="center"/>
    </xf>
    <xf numFmtId="165" fontId="2" fillId="0" borderId="27" xfId="1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" fontId="2" fillId="0" borderId="25" xfId="1" applyNumberFormat="1" applyFont="1" applyBorder="1" applyAlignment="1">
      <alignment vertical="center"/>
    </xf>
    <xf numFmtId="164" fontId="2" fillId="0" borderId="32" xfId="3" applyFont="1" applyFill="1" applyBorder="1" applyAlignment="1">
      <alignment vertical="center"/>
    </xf>
    <xf numFmtId="164" fontId="2" fillId="0" borderId="26" xfId="3" applyFont="1" applyFill="1" applyBorder="1" applyAlignment="1">
      <alignment vertical="center"/>
    </xf>
    <xf numFmtId="0" fontId="3" fillId="0" borderId="40" xfId="1" applyFont="1" applyBorder="1" applyAlignment="1">
      <alignment vertical="center" wrapText="1"/>
    </xf>
    <xf numFmtId="2" fontId="3" fillId="0" borderId="30" xfId="1" applyNumberFormat="1" applyFont="1" applyBorder="1" applyAlignment="1">
      <alignment horizontal="center" vertical="center"/>
    </xf>
    <xf numFmtId="164" fontId="3" fillId="0" borderId="30" xfId="3" applyFont="1" applyFill="1" applyBorder="1" applyAlignment="1">
      <alignment vertical="center"/>
    </xf>
    <xf numFmtId="164" fontId="3" fillId="0" borderId="3" xfId="3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31" xfId="0" applyNumberFormat="1" applyFont="1" applyBorder="1" applyAlignment="1">
      <alignment horizontal="center" vertical="center"/>
    </xf>
    <xf numFmtId="4" fontId="3" fillId="0" borderId="25" xfId="1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41" xfId="1" applyFont="1" applyBorder="1" applyAlignment="1">
      <alignment vertical="center" wrapText="1"/>
    </xf>
    <xf numFmtId="2" fontId="3" fillId="0" borderId="34" xfId="1" applyNumberFormat="1" applyFont="1" applyBorder="1" applyAlignment="1">
      <alignment horizontal="center" vertical="center"/>
    </xf>
    <xf numFmtId="0" fontId="3" fillId="0" borderId="20" xfId="1" applyFont="1" applyBorder="1" applyAlignment="1">
      <alignment vertical="center" wrapText="1"/>
    </xf>
    <xf numFmtId="2" fontId="3" fillId="0" borderId="51" xfId="1" applyNumberFormat="1" applyFont="1" applyBorder="1" applyAlignment="1">
      <alignment horizontal="center" vertical="center"/>
    </xf>
    <xf numFmtId="164" fontId="3" fillId="0" borderId="49" xfId="3" applyFont="1" applyFill="1" applyBorder="1" applyAlignment="1">
      <alignment vertical="center"/>
    </xf>
    <xf numFmtId="164" fontId="3" fillId="0" borderId="50" xfId="3" applyFont="1" applyFill="1" applyBorder="1" applyAlignment="1">
      <alignment vertical="center"/>
    </xf>
    <xf numFmtId="164" fontId="3" fillId="0" borderId="51" xfId="3" applyFont="1" applyFill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3" fillId="0" borderId="48" xfId="1" applyFont="1" applyBorder="1" applyAlignment="1">
      <alignment vertical="center" wrapText="1"/>
    </xf>
    <xf numFmtId="2" fontId="3" fillId="0" borderId="52" xfId="1" applyNumberFormat="1" applyFont="1" applyBorder="1" applyAlignment="1">
      <alignment horizontal="center" vertical="center"/>
    </xf>
    <xf numFmtId="164" fontId="3" fillId="0" borderId="53" xfId="3" applyFont="1" applyFill="1" applyBorder="1" applyAlignment="1">
      <alignment vertical="center"/>
    </xf>
    <xf numFmtId="164" fontId="3" fillId="0" borderId="21" xfId="3" applyFont="1" applyFill="1" applyBorder="1" applyAlignment="1">
      <alignment vertical="center"/>
    </xf>
    <xf numFmtId="164" fontId="3" fillId="0" borderId="52" xfId="3" applyFont="1" applyFill="1" applyBorder="1" applyAlignment="1">
      <alignment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2" fillId="0" borderId="20" xfId="1" applyFont="1" applyBorder="1" applyAlignment="1">
      <alignment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40" xfId="1" applyFont="1" applyBorder="1" applyAlignment="1">
      <alignment horizontal="left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48" xfId="1" applyFont="1" applyBorder="1" applyAlignment="1">
      <alignment horizontal="left" vertical="center" wrapText="1"/>
    </xf>
    <xf numFmtId="164" fontId="3" fillId="0" borderId="22" xfId="3" applyFont="1" applyFill="1" applyBorder="1" applyAlignment="1">
      <alignment horizontal="center" vertical="center"/>
    </xf>
    <xf numFmtId="0" fontId="4" fillId="0" borderId="0" xfId="0" quotePrefix="1" applyFont="1" applyAlignment="1">
      <alignment horizontal="left"/>
    </xf>
    <xf numFmtId="49" fontId="2" fillId="0" borderId="36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4" fontId="2" fillId="0" borderId="12" xfId="1" applyNumberFormat="1" applyFont="1" applyBorder="1" applyAlignment="1">
      <alignment vertical="center"/>
    </xf>
    <xf numFmtId="164" fontId="2" fillId="0" borderId="12" xfId="3" applyFont="1" applyFill="1" applyBorder="1" applyAlignment="1">
      <alignment vertical="center"/>
    </xf>
    <xf numFmtId="164" fontId="2" fillId="0" borderId="18" xfId="3" applyFont="1" applyFill="1" applyBorder="1" applyAlignment="1">
      <alignment vertical="center"/>
    </xf>
    <xf numFmtId="49" fontId="2" fillId="0" borderId="53" xfId="0" applyNumberFormat="1" applyFont="1" applyBorder="1" applyAlignment="1">
      <alignment horizontal="center" vertical="center"/>
    </xf>
    <xf numFmtId="49" fontId="2" fillId="0" borderId="54" xfId="0" applyNumberFormat="1" applyFont="1" applyBorder="1" applyAlignment="1">
      <alignment horizontal="center" vertical="center"/>
    </xf>
    <xf numFmtId="4" fontId="2" fillId="0" borderId="14" xfId="1" applyNumberFormat="1" applyFont="1" applyBorder="1" applyAlignment="1">
      <alignment vertical="center"/>
    </xf>
    <xf numFmtId="164" fontId="2" fillId="0" borderId="14" xfId="3" applyFont="1" applyFill="1" applyBorder="1" applyAlignment="1">
      <alignment vertical="center"/>
    </xf>
    <xf numFmtId="164" fontId="2" fillId="0" borderId="23" xfId="3" applyFont="1" applyFill="1" applyBorder="1" applyAlignment="1">
      <alignment vertical="center"/>
    </xf>
    <xf numFmtId="0" fontId="3" fillId="0" borderId="29" xfId="0" quotePrefix="1" applyFont="1" applyBorder="1" applyAlignment="1">
      <alignment horizontal="center" vertical="center"/>
    </xf>
    <xf numFmtId="0" fontId="3" fillId="0" borderId="9" xfId="0" applyFont="1" applyBorder="1" applyAlignment="1">
      <alignment horizontal="left"/>
    </xf>
    <xf numFmtId="0" fontId="3" fillId="0" borderId="9" xfId="1" applyFont="1" applyBorder="1"/>
    <xf numFmtId="2" fontId="3" fillId="0" borderId="25" xfId="1" applyNumberFormat="1" applyFont="1" applyBorder="1" applyAlignment="1">
      <alignment horizontal="center"/>
    </xf>
    <xf numFmtId="164" fontId="3" fillId="0" borderId="25" xfId="3" applyFont="1" applyFill="1" applyBorder="1" applyAlignment="1">
      <alignment horizontal="center"/>
    </xf>
    <xf numFmtId="164" fontId="3" fillId="0" borderId="25" xfId="3" applyFont="1" applyFill="1" applyBorder="1"/>
    <xf numFmtId="164" fontId="3" fillId="0" borderId="32" xfId="3" applyFont="1" applyFill="1" applyBorder="1"/>
    <xf numFmtId="0" fontId="3" fillId="0" borderId="25" xfId="0" applyFont="1" applyBorder="1" applyAlignment="1">
      <alignment horizontal="left" vertical="center"/>
    </xf>
    <xf numFmtId="0" fontId="2" fillId="0" borderId="25" xfId="1" applyFont="1" applyBorder="1" applyAlignment="1">
      <alignment horizontal="left" vertical="center" indent="7"/>
    </xf>
    <xf numFmtId="2" fontId="3" fillId="0" borderId="25" xfId="1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167" fontId="4" fillId="0" borderId="0" xfId="0" applyNumberFormat="1" applyFont="1"/>
    <xf numFmtId="0" fontId="4" fillId="0" borderId="0" xfId="0" quotePrefix="1" applyFont="1"/>
    <xf numFmtId="49" fontId="12" fillId="0" borderId="2" xfId="0" applyNumberFormat="1" applyFont="1" applyBorder="1" applyAlignment="1">
      <alignment horizontal="centerContinuous" vertical="center"/>
    </xf>
    <xf numFmtId="49" fontId="4" fillId="0" borderId="25" xfId="0" applyNumberFormat="1" applyFont="1" applyBorder="1" applyAlignment="1">
      <alignment horizontal="centerContinuous" vertical="center"/>
    </xf>
    <xf numFmtId="0" fontId="2" fillId="0" borderId="40" xfId="0" applyFont="1" applyBorder="1" applyAlignment="1">
      <alignment horizontal="right" vertical="center"/>
    </xf>
    <xf numFmtId="169" fontId="2" fillId="0" borderId="7" xfId="0" applyNumberFormat="1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>
      <alignment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  <protection locked="0"/>
    </xf>
    <xf numFmtId="0" fontId="2" fillId="0" borderId="32" xfId="0" applyFont="1" applyBorder="1" applyAlignment="1">
      <alignment vertical="center" wrapText="1"/>
    </xf>
    <xf numFmtId="0" fontId="3" fillId="0" borderId="33" xfId="2" applyBorder="1" applyAlignment="1">
      <alignment horizontal="center" vertical="center"/>
    </xf>
    <xf numFmtId="0" fontId="3" fillId="0" borderId="49" xfId="2" applyBorder="1" applyAlignment="1">
      <alignment horizontal="center" vertical="center"/>
    </xf>
    <xf numFmtId="0" fontId="3" fillId="0" borderId="50" xfId="2" applyBorder="1" applyAlignment="1">
      <alignment horizontal="center" vertical="center"/>
    </xf>
    <xf numFmtId="0" fontId="3" fillId="0" borderId="24" xfId="2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/>
    </xf>
    <xf numFmtId="0" fontId="2" fillId="0" borderId="2" xfId="0" applyFont="1" applyBorder="1" applyAlignment="1">
      <alignment horizontal="left" vertical="center"/>
    </xf>
  </cellXfs>
  <cellStyles count="22">
    <cellStyle name="Moeda 2" xfId="18" xr:uid="{00000000-0005-0000-0000-000001000000}"/>
    <cellStyle name="Normal" xfId="0" builtinId="0"/>
    <cellStyle name="Normal 2" xfId="4" xr:uid="{00000000-0005-0000-0000-000003000000}"/>
    <cellStyle name="Normal 2 2" xfId="21" xr:uid="{00000000-0005-0000-0000-000004000000}"/>
    <cellStyle name="Normal 3" xfId="7" xr:uid="{00000000-0005-0000-0000-000005000000}"/>
    <cellStyle name="Normal 3 2" xfId="6" xr:uid="{00000000-0005-0000-0000-000006000000}"/>
    <cellStyle name="Normal 3 3" xfId="13" xr:uid="{00000000-0005-0000-0000-000007000000}"/>
    <cellStyle name="Normal 3 4" xfId="10" xr:uid="{00000000-0005-0000-0000-000008000000}"/>
    <cellStyle name="Normal 4" xfId="17" xr:uid="{00000000-0005-0000-0000-000009000000}"/>
    <cellStyle name="Normal 5" xfId="19" xr:uid="{00000000-0005-0000-0000-00000A000000}"/>
    <cellStyle name="Normal 7" xfId="20" xr:uid="{00000000-0005-0000-0000-00000B000000}"/>
    <cellStyle name="Normal_ORÇAMENTO" xfId="1" xr:uid="{00000000-0005-0000-0000-00000C000000}"/>
    <cellStyle name="Normal_ORÇAMENTO ALTERNATIVA 1 DER Junho2001" xfId="2" xr:uid="{00000000-0005-0000-0000-00000D000000}"/>
    <cellStyle name="Porcentagem 2" xfId="5" xr:uid="{00000000-0005-0000-0000-00000F000000}"/>
    <cellStyle name="Porcentagem 3" xfId="16" xr:uid="{00000000-0005-0000-0000-000010000000}"/>
    <cellStyle name="Vírgula" xfId="3" builtinId="3"/>
    <cellStyle name="Vírgula 2" xfId="8" xr:uid="{00000000-0005-0000-0000-000012000000}"/>
    <cellStyle name="Vírgula 2 2" xfId="14" xr:uid="{00000000-0005-0000-0000-000013000000}"/>
    <cellStyle name="Vírgula 2 3" xfId="11" xr:uid="{00000000-0005-0000-0000-000014000000}"/>
    <cellStyle name="Vírgula 3" xfId="12" xr:uid="{00000000-0005-0000-0000-000015000000}"/>
    <cellStyle name="Vírgula 4" xfId="9" xr:uid="{00000000-0005-0000-0000-000016000000}"/>
    <cellStyle name="Vírgula 5" xfId="15" xr:uid="{00000000-0005-0000-0000-000017000000}"/>
  </cellStyles>
  <dxfs count="0"/>
  <tableStyles count="0" defaultTableStyle="TableStyleMedium2" defaultPivotStyle="PivotStyleLight16"/>
  <colors>
    <mruColors>
      <color rgb="FFCCFFCC"/>
      <color rgb="FF0000FF"/>
      <color rgb="FFFFFFCC"/>
      <color rgb="FF66FF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uy\_01%20Reequil&#237;brio%20-%20arquivos%20revisados\Realinamento%20SET%202017-INCC-mensal%20ANP-DNIT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J\medicoes\sms%20sam55%20lt01%20-%20pav%20cbuq\sms%20sam55%20lt01%20-%20pav%20cbuq%20-%20medicao%2007%20P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CC"/>
      <sheetName val="ANP após 2015"/>
      <sheetName val="percentuais por insumo"/>
      <sheetName val="TESTE"/>
      <sheetName val="proposta"/>
      <sheetName val="2017 SEM"/>
      <sheetName val="R1"/>
      <sheetName val="R2"/>
      <sheetName val="R3"/>
      <sheetName val="R4"/>
      <sheetName val="R5"/>
      <sheetName val="R6"/>
      <sheetName val="R7"/>
      <sheetName val="R8 saldo"/>
      <sheetName val="SOMA"/>
      <sheetName val="resumo"/>
      <sheetName val="Composição TCPOWe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DIÇÃO POR RUA"/>
      <sheetName val="MEDIÇÃO"/>
      <sheetName val="RESUMO"/>
      <sheetName val="a aditar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  <sheetName val="PLANILHA_MEDIÇÃO_COMPLETA"/>
      <sheetName val="Parecer_Gerado"/>
      <sheetName val="HISTÓRICO_DE_PARECERES"/>
      <sheetName val="_"/>
      <sheetName val="PLANILHA_MEDIÇÃO_COMPLETA1"/>
      <sheetName val="Parecer_Gerado1"/>
      <sheetName val="HISTÓRICO_DE_PARECERES1"/>
      <sheetName val="_1"/>
      <sheetName val="FOLHA FECHAMENTO"/>
      <sheetName val="Auxiliar FxF"/>
      <sheetName val="cotações"/>
      <sheetName val="insumos"/>
      <sheetName val="serviços"/>
      <sheetName val="Teor"/>
      <sheetName val="compo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  <sheetData sheetId="7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8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9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0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2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ilha8">
    <tabColor rgb="FF00B050"/>
    <pageSetUpPr fitToPage="1"/>
  </sheetPr>
  <dimension ref="A1:I48"/>
  <sheetViews>
    <sheetView showGridLines="0" showZeros="0" tabSelected="1" view="pageBreakPreview" topLeftCell="B1" zoomScaleNormal="100" zoomScaleSheetLayoutView="100" workbookViewId="0">
      <selection activeCell="B1" sqref="B1"/>
    </sheetView>
  </sheetViews>
  <sheetFormatPr defaultColWidth="21.6640625" defaultRowHeight="12.75" x14ac:dyDescent="0.2"/>
  <cols>
    <col min="1" max="1" width="15.6640625" style="66" hidden="1" customWidth="1"/>
    <col min="2" max="2" width="19.83203125" style="160" customWidth="1"/>
    <col min="3" max="3" width="18" style="66" customWidth="1"/>
    <col min="4" max="4" width="76.33203125" style="69" customWidth="1"/>
    <col min="5" max="5" width="6.83203125" style="69" customWidth="1"/>
    <col min="6" max="7" width="13.1640625" style="69" customWidth="1"/>
    <col min="8" max="9" width="16.33203125" style="69" customWidth="1"/>
    <col min="10" max="16384" width="21.6640625" style="69"/>
  </cols>
  <sheetData>
    <row r="1" spans="1:9" ht="25.15" customHeight="1" thickBot="1" x14ac:dyDescent="0.25">
      <c r="B1" s="163" t="s">
        <v>66</v>
      </c>
      <c r="C1" s="164"/>
      <c r="D1" s="67"/>
      <c r="E1" s="67"/>
      <c r="F1" s="67"/>
      <c r="G1" s="67"/>
      <c r="H1" s="67"/>
      <c r="I1" s="68"/>
    </row>
    <row r="2" spans="1:9" s="77" customFormat="1" ht="18" customHeight="1" x14ac:dyDescent="0.2">
      <c r="A2" s="70"/>
      <c r="B2" s="71" t="s">
        <v>68</v>
      </c>
      <c r="C2" s="72" t="s">
        <v>200</v>
      </c>
      <c r="D2" s="73"/>
      <c r="E2" s="74"/>
      <c r="F2" s="74"/>
      <c r="G2" s="74"/>
      <c r="H2" s="75" t="s">
        <v>69</v>
      </c>
      <c r="I2" s="76" t="s">
        <v>202</v>
      </c>
    </row>
    <row r="3" spans="1:9" s="77" customFormat="1" ht="18" customHeight="1" x14ac:dyDescent="0.2">
      <c r="A3" s="70"/>
      <c r="B3" s="78" t="s">
        <v>70</v>
      </c>
      <c r="C3" s="79" t="s">
        <v>201</v>
      </c>
      <c r="D3" s="80"/>
      <c r="E3" s="81"/>
      <c r="F3" s="81"/>
      <c r="G3" s="81"/>
      <c r="H3" s="82" t="s">
        <v>71</v>
      </c>
      <c r="I3" s="83" t="s">
        <v>205</v>
      </c>
    </row>
    <row r="4" spans="1:9" s="77" customFormat="1" ht="18" customHeight="1" x14ac:dyDescent="0.2">
      <c r="A4" s="70"/>
      <c r="B4" s="78" t="s">
        <v>126</v>
      </c>
      <c r="C4" s="79" t="s">
        <v>199</v>
      </c>
      <c r="D4" s="80"/>
      <c r="E4" s="81"/>
      <c r="F4" s="81"/>
      <c r="G4" s="81"/>
      <c r="H4" s="81"/>
      <c r="I4" s="165" t="s">
        <v>171</v>
      </c>
    </row>
    <row r="5" spans="1:9" s="77" customFormat="1" ht="18" customHeight="1" thickBot="1" x14ac:dyDescent="0.25">
      <c r="A5" s="70"/>
      <c r="B5" s="84"/>
      <c r="C5" s="85"/>
      <c r="D5" s="86"/>
      <c r="E5" s="85"/>
      <c r="F5" s="85"/>
      <c r="G5" s="85"/>
      <c r="H5" s="87" t="s">
        <v>173</v>
      </c>
      <c r="I5" s="166">
        <v>45140</v>
      </c>
    </row>
    <row r="6" spans="1:9" s="77" customFormat="1" ht="18" customHeight="1" thickBot="1" x14ac:dyDescent="0.25">
      <c r="A6" s="70"/>
      <c r="B6" s="88" t="s">
        <v>118</v>
      </c>
      <c r="C6" s="89" t="s">
        <v>119</v>
      </c>
      <c r="D6" s="90" t="s">
        <v>64</v>
      </c>
      <c r="E6" s="91" t="s">
        <v>65</v>
      </c>
      <c r="F6" s="92" t="s">
        <v>167</v>
      </c>
      <c r="G6" s="93"/>
      <c r="H6" s="94"/>
      <c r="I6" s="94"/>
    </row>
    <row r="7" spans="1:9" ht="23.25" thickBot="1" x14ac:dyDescent="0.25">
      <c r="A7" s="95" t="s">
        <v>164</v>
      </c>
      <c r="B7" s="96" t="s">
        <v>72</v>
      </c>
      <c r="C7" s="97"/>
      <c r="D7" s="98" t="s">
        <v>165</v>
      </c>
      <c r="E7" s="99"/>
      <c r="F7" s="100" t="s">
        <v>0</v>
      </c>
      <c r="G7" s="101" t="s">
        <v>1</v>
      </c>
      <c r="H7" s="102" t="s">
        <v>2</v>
      </c>
      <c r="I7" s="103" t="s">
        <v>67</v>
      </c>
    </row>
    <row r="8" spans="1:9" ht="15" customHeight="1" thickBot="1" x14ac:dyDescent="0.25">
      <c r="A8" s="66" t="s">
        <v>125</v>
      </c>
      <c r="B8" s="104" t="s">
        <v>125</v>
      </c>
      <c r="C8" s="105"/>
      <c r="D8" s="167" t="s">
        <v>122</v>
      </c>
      <c r="E8" s="106" t="s">
        <v>138</v>
      </c>
      <c r="F8" s="40"/>
      <c r="G8" s="41"/>
      <c r="H8" s="107"/>
      <c r="I8" s="108">
        <v>3624.95</v>
      </c>
    </row>
    <row r="9" spans="1:9" ht="28.5" customHeight="1" thickBot="1" x14ac:dyDescent="0.25">
      <c r="A9" s="66" t="s">
        <v>157</v>
      </c>
      <c r="B9" s="168" t="s">
        <v>181</v>
      </c>
      <c r="C9" s="169" t="s">
        <v>180</v>
      </c>
      <c r="D9" s="109" t="s">
        <v>158</v>
      </c>
      <c r="E9" s="110" t="s">
        <v>6</v>
      </c>
      <c r="F9" s="43">
        <v>1</v>
      </c>
      <c r="G9" s="44">
        <v>3624.95</v>
      </c>
      <c r="H9" s="111">
        <v>3624.95</v>
      </c>
      <c r="I9" s="112"/>
    </row>
    <row r="10" spans="1:9" ht="15" customHeight="1" thickBot="1" x14ac:dyDescent="0.25">
      <c r="A10" s="66" t="s">
        <v>75</v>
      </c>
      <c r="B10" s="113" t="s">
        <v>75</v>
      </c>
      <c r="C10" s="114"/>
      <c r="D10" s="170" t="s">
        <v>121</v>
      </c>
      <c r="E10" s="115" t="s">
        <v>138</v>
      </c>
      <c r="F10" s="40">
        <v>0</v>
      </c>
      <c r="G10" s="41">
        <v>0</v>
      </c>
      <c r="H10" s="107">
        <v>0</v>
      </c>
      <c r="I10" s="108">
        <v>1792641.02</v>
      </c>
    </row>
    <row r="11" spans="1:9" ht="15" customHeight="1" thickBot="1" x14ac:dyDescent="0.25">
      <c r="A11" s="66" t="s">
        <v>156</v>
      </c>
      <c r="B11" s="171" t="s">
        <v>174</v>
      </c>
      <c r="C11" s="116" t="s">
        <v>175</v>
      </c>
      <c r="D11" s="117" t="s">
        <v>78</v>
      </c>
      <c r="E11" s="118" t="s">
        <v>4</v>
      </c>
      <c r="F11" s="42">
        <v>20549.2</v>
      </c>
      <c r="G11" s="42">
        <v>0.79</v>
      </c>
      <c r="H11" s="111">
        <v>16233.87</v>
      </c>
      <c r="I11" s="112"/>
    </row>
    <row r="12" spans="1:9" ht="15" customHeight="1" x14ac:dyDescent="0.2">
      <c r="A12" s="66">
        <v>561100</v>
      </c>
      <c r="B12" s="172" t="s">
        <v>147</v>
      </c>
      <c r="C12" s="173" t="s">
        <v>74</v>
      </c>
      <c r="D12" s="119" t="s">
        <v>142</v>
      </c>
      <c r="E12" s="120" t="s">
        <v>4</v>
      </c>
      <c r="F12" s="121">
        <v>41098.410000000003</v>
      </c>
      <c r="G12" s="122">
        <v>0.41</v>
      </c>
      <c r="H12" s="123">
        <v>16850.349999999999</v>
      </c>
      <c r="I12" s="112"/>
    </row>
    <row r="13" spans="1:9" ht="15" customHeight="1" thickBot="1" x14ac:dyDescent="0.25">
      <c r="A13" s="66">
        <v>589420</v>
      </c>
      <c r="B13" s="174" t="s">
        <v>148</v>
      </c>
      <c r="C13" s="124" t="s">
        <v>77</v>
      </c>
      <c r="D13" s="125" t="s">
        <v>143</v>
      </c>
      <c r="E13" s="126" t="s">
        <v>5</v>
      </c>
      <c r="F13" s="127">
        <v>20.54</v>
      </c>
      <c r="G13" s="128">
        <v>5114.51</v>
      </c>
      <c r="H13" s="129">
        <v>105052.04</v>
      </c>
      <c r="I13" s="112"/>
    </row>
    <row r="14" spans="1:9" ht="15" customHeight="1" x14ac:dyDescent="0.2">
      <c r="A14" s="66">
        <v>570000</v>
      </c>
      <c r="B14" s="130" t="s">
        <v>159</v>
      </c>
      <c r="C14" s="131" t="s">
        <v>74</v>
      </c>
      <c r="D14" s="132" t="s">
        <v>172</v>
      </c>
      <c r="E14" s="120" t="s">
        <v>5</v>
      </c>
      <c r="F14" s="121">
        <v>774.3</v>
      </c>
      <c r="G14" s="122">
        <v>373.78</v>
      </c>
      <c r="H14" s="123">
        <v>289417.84999999998</v>
      </c>
      <c r="I14" s="112"/>
    </row>
    <row r="15" spans="1:9" ht="15" customHeight="1" thickBot="1" x14ac:dyDescent="0.25">
      <c r="A15" s="66">
        <v>589000</v>
      </c>
      <c r="B15" s="135" t="s">
        <v>149</v>
      </c>
      <c r="C15" s="124" t="s">
        <v>77</v>
      </c>
      <c r="D15" s="136" t="s">
        <v>169</v>
      </c>
      <c r="E15" s="126" t="s">
        <v>5</v>
      </c>
      <c r="F15" s="127">
        <v>44.15</v>
      </c>
      <c r="G15" s="137">
        <v>6271.92</v>
      </c>
      <c r="H15" s="129">
        <v>276905.27</v>
      </c>
      <c r="I15" s="112"/>
    </row>
    <row r="16" spans="1:9" ht="15" customHeight="1" x14ac:dyDescent="0.2">
      <c r="A16" s="66">
        <v>570000</v>
      </c>
      <c r="B16" s="130" t="s">
        <v>160</v>
      </c>
      <c r="C16" s="131" t="s">
        <v>74</v>
      </c>
      <c r="D16" s="119" t="s">
        <v>203</v>
      </c>
      <c r="E16" s="120" t="s">
        <v>5</v>
      </c>
      <c r="F16" s="121">
        <v>1581.26</v>
      </c>
      <c r="G16" s="122">
        <v>374.55</v>
      </c>
      <c r="H16" s="123">
        <v>592260.93000000005</v>
      </c>
      <c r="I16" s="112"/>
    </row>
    <row r="17" spans="1:9" ht="15" customHeight="1" thickBot="1" x14ac:dyDescent="0.25">
      <c r="A17" s="66">
        <v>589000</v>
      </c>
      <c r="B17" s="135" t="s">
        <v>150</v>
      </c>
      <c r="C17" s="124" t="s">
        <v>77</v>
      </c>
      <c r="D17" s="136" t="s">
        <v>169</v>
      </c>
      <c r="E17" s="126" t="s">
        <v>5</v>
      </c>
      <c r="F17" s="127">
        <v>79.069999999999993</v>
      </c>
      <c r="G17" s="137">
        <v>6271.92</v>
      </c>
      <c r="H17" s="129">
        <v>495920.71</v>
      </c>
      <c r="I17" s="112"/>
    </row>
    <row r="18" spans="1:9" ht="15" customHeight="1" thickBot="1" x14ac:dyDescent="0.25">
      <c r="A18" s="66" t="s">
        <v>76</v>
      </c>
      <c r="B18" s="113" t="s">
        <v>76</v>
      </c>
      <c r="C18" s="114"/>
      <c r="D18" s="170" t="s">
        <v>144</v>
      </c>
      <c r="E18" s="106" t="s">
        <v>138</v>
      </c>
      <c r="F18" s="40">
        <v>0</v>
      </c>
      <c r="G18" s="41">
        <v>0</v>
      </c>
      <c r="H18" s="107">
        <v>0</v>
      </c>
      <c r="I18" s="108">
        <v>135267.07</v>
      </c>
    </row>
    <row r="19" spans="1:9" ht="15" customHeight="1" x14ac:dyDescent="0.2">
      <c r="A19" s="66">
        <v>100576</v>
      </c>
      <c r="B19" s="133" t="s">
        <v>162</v>
      </c>
      <c r="C19" s="116" t="s">
        <v>145</v>
      </c>
      <c r="D19" s="109" t="s">
        <v>73</v>
      </c>
      <c r="E19" s="110" t="s">
        <v>4</v>
      </c>
      <c r="F19" s="42">
        <v>1694.68</v>
      </c>
      <c r="G19" s="42">
        <v>3.15</v>
      </c>
      <c r="H19" s="111">
        <v>5338.24</v>
      </c>
      <c r="I19" s="112"/>
    </row>
    <row r="20" spans="1:9" ht="15" customHeight="1" x14ac:dyDescent="0.2">
      <c r="A20" s="66">
        <v>603900</v>
      </c>
      <c r="B20" s="133" t="s">
        <v>161</v>
      </c>
      <c r="C20" s="116" t="s">
        <v>74</v>
      </c>
      <c r="D20" s="134" t="s">
        <v>81</v>
      </c>
      <c r="E20" s="110" t="s">
        <v>3</v>
      </c>
      <c r="F20" s="42">
        <v>50.9</v>
      </c>
      <c r="G20" s="42">
        <v>353.35</v>
      </c>
      <c r="H20" s="111">
        <v>17985.52</v>
      </c>
      <c r="I20" s="112"/>
    </row>
    <row r="21" spans="1:9" ht="15" customHeight="1" x14ac:dyDescent="0.2">
      <c r="A21" s="66">
        <v>605000</v>
      </c>
      <c r="B21" s="133" t="s">
        <v>80</v>
      </c>
      <c r="C21" s="116" t="s">
        <v>74</v>
      </c>
      <c r="D21" s="109" t="s">
        <v>139</v>
      </c>
      <c r="E21" s="110" t="s">
        <v>4</v>
      </c>
      <c r="F21" s="42">
        <v>1694.68</v>
      </c>
      <c r="G21" s="42">
        <v>39.54</v>
      </c>
      <c r="H21" s="111">
        <v>67007.649999999994</v>
      </c>
      <c r="I21" s="112"/>
    </row>
    <row r="22" spans="1:9" ht="15" customHeight="1" thickBot="1" x14ac:dyDescent="0.25">
      <c r="A22" s="66">
        <v>605000</v>
      </c>
      <c r="B22" s="133" t="s">
        <v>163</v>
      </c>
      <c r="C22" s="116" t="s">
        <v>74</v>
      </c>
      <c r="D22" s="109" t="s">
        <v>79</v>
      </c>
      <c r="E22" s="110" t="s">
        <v>6</v>
      </c>
      <c r="F22" s="42">
        <v>77</v>
      </c>
      <c r="G22" s="42">
        <v>583.58000000000004</v>
      </c>
      <c r="H22" s="111">
        <v>44935.66</v>
      </c>
      <c r="I22" s="112"/>
    </row>
    <row r="23" spans="1:9" ht="15" customHeight="1" thickBot="1" x14ac:dyDescent="0.25">
      <c r="A23" s="66" t="s">
        <v>120</v>
      </c>
      <c r="B23" s="113" t="s">
        <v>120</v>
      </c>
      <c r="C23" s="114"/>
      <c r="D23" s="170" t="s">
        <v>123</v>
      </c>
      <c r="E23" s="106" t="s">
        <v>138</v>
      </c>
      <c r="F23" s="40">
        <v>0</v>
      </c>
      <c r="G23" s="41">
        <v>0</v>
      </c>
      <c r="H23" s="107">
        <v>0</v>
      </c>
      <c r="I23" s="108">
        <v>47166.64</v>
      </c>
    </row>
    <row r="24" spans="1:9" ht="15" customHeight="1" thickBot="1" x14ac:dyDescent="0.25">
      <c r="A24" s="66">
        <v>822000</v>
      </c>
      <c r="B24" s="133">
        <v>822000</v>
      </c>
      <c r="C24" s="116" t="s">
        <v>74</v>
      </c>
      <c r="D24" s="109" t="s">
        <v>124</v>
      </c>
      <c r="E24" s="110" t="s">
        <v>4</v>
      </c>
      <c r="F24" s="42">
        <v>1261.1400000000001</v>
      </c>
      <c r="G24" s="42">
        <v>37.4</v>
      </c>
      <c r="H24" s="111">
        <v>47166.64</v>
      </c>
      <c r="I24" s="112"/>
    </row>
    <row r="25" spans="1:9" x14ac:dyDescent="0.2">
      <c r="A25" s="138">
        <v>11</v>
      </c>
      <c r="B25" s="139" t="s">
        <v>127</v>
      </c>
      <c r="C25" s="140"/>
      <c r="D25" s="175" t="s">
        <v>140</v>
      </c>
      <c r="E25" s="141" t="s">
        <v>138</v>
      </c>
      <c r="F25" s="45">
        <v>0</v>
      </c>
      <c r="G25" s="46">
        <v>0</v>
      </c>
      <c r="H25" s="142">
        <v>0</v>
      </c>
      <c r="I25" s="143">
        <v>30628.040000000005</v>
      </c>
    </row>
    <row r="26" spans="1:9" ht="34.5" thickBot="1" x14ac:dyDescent="0.25">
      <c r="A26" s="138"/>
      <c r="B26" s="144"/>
      <c r="C26" s="145"/>
      <c r="D26" s="176" t="s">
        <v>166</v>
      </c>
      <c r="E26" s="146"/>
      <c r="F26" s="47">
        <v>0</v>
      </c>
      <c r="G26" s="47">
        <v>0</v>
      </c>
      <c r="H26" s="147">
        <v>0</v>
      </c>
      <c r="I26" s="148"/>
    </row>
    <row r="27" spans="1:9" s="77" customFormat="1" ht="15" customHeight="1" x14ac:dyDescent="0.2">
      <c r="A27" s="138" t="s">
        <v>72</v>
      </c>
      <c r="B27" s="133" t="s">
        <v>128</v>
      </c>
      <c r="C27" s="116" t="s">
        <v>170</v>
      </c>
      <c r="D27" s="134" t="s">
        <v>129</v>
      </c>
      <c r="E27" s="110" t="s">
        <v>6</v>
      </c>
      <c r="F27" s="42">
        <v>52</v>
      </c>
      <c r="G27" s="42">
        <v>96.43</v>
      </c>
      <c r="H27" s="111">
        <v>5014.3599999999997</v>
      </c>
      <c r="I27" s="112"/>
    </row>
    <row r="28" spans="1:9" s="77" customFormat="1" ht="15" customHeight="1" x14ac:dyDescent="0.2">
      <c r="A28" s="138" t="s">
        <v>72</v>
      </c>
      <c r="B28" s="133" t="s">
        <v>177</v>
      </c>
      <c r="C28" s="116" t="s">
        <v>135</v>
      </c>
      <c r="D28" s="134" t="s">
        <v>130</v>
      </c>
      <c r="E28" s="110" t="s">
        <v>6</v>
      </c>
      <c r="F28" s="42">
        <v>56</v>
      </c>
      <c r="G28" s="42">
        <v>213.09</v>
      </c>
      <c r="H28" s="111">
        <v>11933.04</v>
      </c>
      <c r="I28" s="112"/>
    </row>
    <row r="29" spans="1:9" s="77" customFormat="1" ht="15" customHeight="1" x14ac:dyDescent="0.2">
      <c r="A29" s="138" t="s">
        <v>72</v>
      </c>
      <c r="B29" s="133" t="s">
        <v>131</v>
      </c>
      <c r="C29" s="116" t="s">
        <v>170</v>
      </c>
      <c r="D29" s="109" t="s">
        <v>132</v>
      </c>
      <c r="E29" s="110" t="s">
        <v>6</v>
      </c>
      <c r="F29" s="42">
        <v>28</v>
      </c>
      <c r="G29" s="42">
        <v>101.61</v>
      </c>
      <c r="H29" s="111">
        <v>2845.08</v>
      </c>
      <c r="I29" s="112"/>
    </row>
    <row r="30" spans="1:9" s="77" customFormat="1" ht="15" customHeight="1" x14ac:dyDescent="0.2">
      <c r="A30" s="138" t="s">
        <v>72</v>
      </c>
      <c r="B30" s="133" t="s">
        <v>179</v>
      </c>
      <c r="C30" s="116" t="s">
        <v>135</v>
      </c>
      <c r="D30" s="109" t="s">
        <v>133</v>
      </c>
      <c r="E30" s="110" t="s">
        <v>6</v>
      </c>
      <c r="F30" s="42">
        <v>28</v>
      </c>
      <c r="G30" s="42">
        <v>58.37</v>
      </c>
      <c r="H30" s="111">
        <v>1634.36</v>
      </c>
      <c r="I30" s="112"/>
    </row>
    <row r="31" spans="1:9" s="77" customFormat="1" ht="15" customHeight="1" x14ac:dyDescent="0.2">
      <c r="A31" s="138" t="s">
        <v>72</v>
      </c>
      <c r="B31" s="149" t="s">
        <v>176</v>
      </c>
      <c r="C31" s="116" t="s">
        <v>135</v>
      </c>
      <c r="D31" s="109" t="s">
        <v>136</v>
      </c>
      <c r="E31" s="110" t="s">
        <v>6</v>
      </c>
      <c r="F31" s="42">
        <v>28</v>
      </c>
      <c r="G31" s="42">
        <v>118.67</v>
      </c>
      <c r="H31" s="111">
        <v>3322.76</v>
      </c>
      <c r="I31" s="112"/>
    </row>
    <row r="32" spans="1:9" s="77" customFormat="1" ht="23.25" thickBot="1" x14ac:dyDescent="0.25">
      <c r="A32" s="138" t="s">
        <v>72</v>
      </c>
      <c r="B32" s="133" t="s">
        <v>178</v>
      </c>
      <c r="C32" s="116" t="s">
        <v>135</v>
      </c>
      <c r="D32" s="109" t="s">
        <v>137</v>
      </c>
      <c r="E32" s="110" t="s">
        <v>134</v>
      </c>
      <c r="F32" s="42">
        <v>1</v>
      </c>
      <c r="G32" s="42">
        <v>5878.44</v>
      </c>
      <c r="H32" s="111">
        <v>5878.44</v>
      </c>
      <c r="I32" s="112"/>
    </row>
    <row r="33" spans="1:9" ht="9.75" customHeight="1" thickBot="1" x14ac:dyDescent="0.25">
      <c r="A33" s="138" t="s">
        <v>72</v>
      </c>
      <c r="B33" s="177" t="s">
        <v>63</v>
      </c>
      <c r="C33" s="150"/>
      <c r="D33" s="151"/>
      <c r="E33" s="152"/>
      <c r="F33" s="153"/>
      <c r="G33" s="153"/>
      <c r="H33" s="154"/>
      <c r="I33" s="155"/>
    </row>
    <row r="34" spans="1:9" ht="21" customHeight="1" thickBot="1" x14ac:dyDescent="0.25">
      <c r="A34" s="138" t="s">
        <v>72</v>
      </c>
      <c r="B34" s="178" t="s">
        <v>204</v>
      </c>
      <c r="C34" s="156"/>
      <c r="D34" s="157"/>
      <c r="E34" s="158"/>
      <c r="F34" s="41"/>
      <c r="G34" s="41"/>
      <c r="H34" s="159" t="s">
        <v>168</v>
      </c>
      <c r="I34" s="108">
        <v>2009327.72</v>
      </c>
    </row>
    <row r="38" spans="1:9" x14ac:dyDescent="0.2">
      <c r="D38" s="161"/>
    </row>
    <row r="39" spans="1:9" x14ac:dyDescent="0.2">
      <c r="D39" s="161" t="s">
        <v>72</v>
      </c>
    </row>
    <row r="40" spans="1:9" x14ac:dyDescent="0.2">
      <c r="D40" s="161"/>
    </row>
    <row r="46" spans="1:9" x14ac:dyDescent="0.2">
      <c r="D46" s="162" t="s">
        <v>72</v>
      </c>
    </row>
    <row r="47" spans="1:9" ht="9" customHeight="1" x14ac:dyDescent="0.2"/>
    <row r="48" spans="1:9" x14ac:dyDescent="0.2">
      <c r="D48" s="162"/>
    </row>
  </sheetData>
  <sheetProtection formatColumns="0" formatRows="0" autoFilter="0"/>
  <autoFilter ref="A7:I33" xr:uid="{00000000-0009-0000-0000-000007000000}"/>
  <phoneticPr fontId="0" type="noConversion"/>
  <printOptions horizontalCentered="1"/>
  <pageMargins left="1.1811023622047245" right="0.78740157480314965" top="1.1811023622047245" bottom="1.1811023622047245" header="0.31496062992125984" footer="0.51181102362204722"/>
  <pageSetup paperSize="9" scale="56" fitToHeight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Planilha18">
    <pageSetUpPr fitToPage="1"/>
  </sheetPr>
  <dimension ref="A1:Z86"/>
  <sheetViews>
    <sheetView workbookViewId="0">
      <selection activeCell="R2510" sqref="R2510"/>
    </sheetView>
  </sheetViews>
  <sheetFormatPr defaultColWidth="12" defaultRowHeight="11.25" x14ac:dyDescent="0.2"/>
  <cols>
    <col min="1" max="1" width="15.83203125" bestFit="1" customWidth="1"/>
    <col min="2" max="2" width="15.83203125" customWidth="1"/>
    <col min="3" max="3" width="149.1640625" customWidth="1"/>
    <col min="4" max="4" width="0.6640625" customWidth="1"/>
    <col min="5" max="5" width="15.1640625" customWidth="1"/>
    <col min="6" max="6" width="15.83203125" customWidth="1"/>
    <col min="7" max="7" width="12.6640625" customWidth="1"/>
    <col min="8" max="8" width="17.83203125" customWidth="1"/>
    <col min="9" max="9" width="14.6640625" customWidth="1"/>
    <col min="10" max="10" width="16.1640625" bestFit="1" customWidth="1"/>
    <col min="11" max="11" width="14.5" customWidth="1"/>
    <col min="12" max="12" width="13.83203125" customWidth="1"/>
    <col min="13" max="13" width="13.5" customWidth="1"/>
    <col min="14" max="14" width="25.1640625" customWidth="1"/>
    <col min="15" max="15" width="21.5" customWidth="1"/>
    <col min="16" max="16" width="14.33203125" customWidth="1"/>
    <col min="17" max="17" width="18" customWidth="1"/>
    <col min="18" max="18" width="15.5" customWidth="1"/>
    <col min="19" max="19" width="14.6640625" customWidth="1"/>
    <col min="20" max="20" width="25.1640625" customWidth="1"/>
    <col min="21" max="23" width="23.1640625" customWidth="1"/>
    <col min="24" max="24" width="14.6640625" customWidth="1"/>
    <col min="25" max="25" width="19.5" customWidth="1"/>
    <col min="26" max="26" width="20.1640625" customWidth="1"/>
  </cols>
  <sheetData>
    <row r="1" spans="1:24" ht="26.25" customHeight="1" x14ac:dyDescent="0.2">
      <c r="A1" s="49" t="s">
        <v>182</v>
      </c>
      <c r="C1" s="48"/>
      <c r="T1" s="38"/>
    </row>
    <row r="2" spans="1:24" ht="26.25" customHeight="1" x14ac:dyDescent="0.25">
      <c r="A2" s="50">
        <v>345.22</v>
      </c>
      <c r="B2" s="50"/>
      <c r="C2" s="51"/>
      <c r="D2" s="51"/>
      <c r="E2" s="52"/>
      <c r="F2" s="50"/>
      <c r="G2" s="50"/>
      <c r="H2" s="51" t="s">
        <v>188</v>
      </c>
      <c r="I2" s="52">
        <v>301.64999999999998</v>
      </c>
      <c r="J2" s="52"/>
      <c r="K2" s="52">
        <v>495.35</v>
      </c>
      <c r="L2" s="52"/>
      <c r="M2" s="52">
        <v>278.64</v>
      </c>
      <c r="N2" s="52">
        <v>58.84</v>
      </c>
      <c r="O2" s="52">
        <v>578</v>
      </c>
      <c r="P2" s="52">
        <v>408.95</v>
      </c>
      <c r="Q2" s="52">
        <v>455.36</v>
      </c>
      <c r="R2" s="52">
        <v>487.71</v>
      </c>
      <c r="S2" s="52">
        <v>495.4</v>
      </c>
      <c r="T2" s="52">
        <f>449.92*0.005</f>
        <v>2.2496</v>
      </c>
      <c r="U2" s="52">
        <v>20.239999999999998</v>
      </c>
      <c r="V2" s="52">
        <v>17.84</v>
      </c>
      <c r="W2" s="52">
        <v>19.489999999999998</v>
      </c>
      <c r="X2" s="50">
        <v>363.12</v>
      </c>
    </row>
    <row r="3" spans="1:24" ht="17.100000000000001" customHeight="1" thickBot="1" x14ac:dyDescent="0.3">
      <c r="A3" s="53">
        <v>378.9</v>
      </c>
      <c r="B3" s="53"/>
      <c r="C3" s="54"/>
      <c r="D3" s="54"/>
      <c r="E3" s="55"/>
      <c r="F3" s="53"/>
      <c r="G3" s="53"/>
      <c r="H3" s="54" t="s">
        <v>187</v>
      </c>
      <c r="I3" s="55">
        <v>212.58</v>
      </c>
      <c r="J3" s="55"/>
      <c r="K3" s="55">
        <v>516.92999999999995</v>
      </c>
      <c r="L3" s="55"/>
      <c r="M3" s="55">
        <v>291.92</v>
      </c>
      <c r="N3" s="55">
        <v>62.53</v>
      </c>
      <c r="O3" s="55">
        <v>586</v>
      </c>
      <c r="P3" s="55">
        <v>425.25</v>
      </c>
      <c r="Q3" s="55">
        <v>471.16</v>
      </c>
      <c r="R3" s="55">
        <v>503.25</v>
      </c>
      <c r="S3" s="55">
        <v>510.89</v>
      </c>
      <c r="T3" s="55">
        <f>ROUND(466.54*0.005,2)</f>
        <v>2.33</v>
      </c>
      <c r="U3" s="55">
        <v>18.420000000000002</v>
      </c>
      <c r="V3" s="55">
        <v>18.34</v>
      </c>
      <c r="W3" s="55">
        <v>20.91</v>
      </c>
      <c r="X3" s="53">
        <v>386.51</v>
      </c>
    </row>
    <row r="4" spans="1:24" ht="70.5" customHeight="1" thickBot="1" x14ac:dyDescent="0.3">
      <c r="A4" s="8" t="s">
        <v>183</v>
      </c>
      <c r="B4" s="27"/>
      <c r="C4" s="9" t="s">
        <v>7</v>
      </c>
      <c r="D4" s="10"/>
      <c r="E4" s="11" t="s">
        <v>8</v>
      </c>
      <c r="F4" s="12" t="s">
        <v>9</v>
      </c>
      <c r="G4" s="12" t="s">
        <v>10</v>
      </c>
      <c r="H4" s="13" t="s">
        <v>11</v>
      </c>
      <c r="I4" s="16" t="s">
        <v>186</v>
      </c>
      <c r="J4" s="14" t="s">
        <v>12</v>
      </c>
      <c r="K4" s="16" t="s">
        <v>141</v>
      </c>
      <c r="L4" s="15" t="s">
        <v>13</v>
      </c>
      <c r="M4" s="8" t="s">
        <v>189</v>
      </c>
      <c r="N4" s="8" t="s">
        <v>184</v>
      </c>
      <c r="O4" s="16" t="s">
        <v>185</v>
      </c>
      <c r="P4" s="17" t="s">
        <v>190</v>
      </c>
      <c r="Q4" s="16" t="s">
        <v>191</v>
      </c>
      <c r="R4" s="16" t="s">
        <v>192</v>
      </c>
      <c r="S4" s="16" t="s">
        <v>193</v>
      </c>
      <c r="T4" s="16" t="s">
        <v>194</v>
      </c>
      <c r="U4" s="16" t="s">
        <v>195</v>
      </c>
      <c r="V4" s="16" t="s">
        <v>196</v>
      </c>
      <c r="W4" s="16" t="s">
        <v>197</v>
      </c>
      <c r="X4" s="16" t="s">
        <v>198</v>
      </c>
    </row>
    <row r="5" spans="1:24" ht="16.5" thickBot="1" x14ac:dyDescent="0.3">
      <c r="A5" s="3"/>
      <c r="B5" s="3"/>
      <c r="C5" s="2" t="s">
        <v>14</v>
      </c>
      <c r="D5" s="7"/>
      <c r="E5" s="34">
        <f>O5*0.846</f>
        <v>0.87983999999999996</v>
      </c>
      <c r="F5" s="34">
        <f>A5*0.27*0.7+M5*0.1+O5*0.0588+P5*0.18+Q5*0.27+R5*0.33+S5*0.344+T5*0.005*0.434</f>
        <v>0.11541040000000001</v>
      </c>
      <c r="G5" s="34">
        <f>A5*0.921*0.7+M5*0.51+O5*0.396+P5*1.06+Q5*0.96+R5*0.921+S5*1.02+T5*0.005*1.575</f>
        <v>0.62209000000000003</v>
      </c>
      <c r="H5" s="34">
        <f>A5*1.11*0.7+M5*1.5+P5*1.11+Q5*1.11+R5*1.11+S5*1.11</f>
        <v>0.20424000000000003</v>
      </c>
      <c r="I5" s="4"/>
      <c r="J5" s="39">
        <f>ROUND(A5*$A$3+M5*$M$3+N5*$N$3+O5*$O$3+P5*$P$3+Q5*$Q$3+R5*$R$3+S5*$S$3+T5*$T$3+U5*$U$3+V5*$V$3+W5*$W$3+X5*$X$3+K5*$K$3+I5*$I$3,2)</f>
        <v>1441.24</v>
      </c>
      <c r="K5" s="4"/>
      <c r="L5" s="34">
        <f>O5*0.0282</f>
        <v>2.9328E-2</v>
      </c>
      <c r="M5" s="5"/>
      <c r="N5" s="37">
        <f>ROUND(1.5*1.25/4,2)</f>
        <v>0.47</v>
      </c>
      <c r="O5" s="37">
        <f>ROUND(O6/1.5*1.2,2)</f>
        <v>1.04</v>
      </c>
      <c r="P5" s="37">
        <v>9.4E-2</v>
      </c>
      <c r="Q5" s="3"/>
      <c r="R5" s="37">
        <v>0.09</v>
      </c>
      <c r="S5" s="6"/>
      <c r="T5" s="37">
        <f>ROUND(T6/1.5*1.2,2)</f>
        <v>3.52</v>
      </c>
      <c r="U5" s="6"/>
      <c r="V5" s="6"/>
      <c r="W5" s="37">
        <v>15.42</v>
      </c>
      <c r="X5" s="36">
        <v>1</v>
      </c>
    </row>
    <row r="6" spans="1:24" ht="16.5" thickBot="1" x14ac:dyDescent="0.3">
      <c r="A6" s="3"/>
      <c r="B6" s="3"/>
      <c r="C6" s="2" t="s">
        <v>15</v>
      </c>
      <c r="D6" s="7"/>
      <c r="E6" s="1">
        <f t="shared" ref="E6:E69" si="0">O6*0.846</f>
        <v>1.0998000000000001</v>
      </c>
      <c r="F6" s="1">
        <f t="shared" ref="F6:F69" si="1">A6*0.27*0.7+M6*0.1+O6*0.0588+P6*0.18+Q6*0.27+R6*0.33+S6*0.344+T6*0.005*0.434</f>
        <v>0.132608</v>
      </c>
      <c r="G6" s="1">
        <f t="shared" ref="G6:G69" si="2">A6*0.921*0.7+M6*0.51+O6*0.396+P6*1.06+Q6*0.96+R6*0.921+S6*1.02+T6*0.005*1.575</f>
        <v>0.73198000000000008</v>
      </c>
      <c r="H6" s="1">
        <f t="shared" ref="H6:H69" si="3">A6*1.11*0.7+M6*1.5+P6*1.11+Q6*1.11+R6*1.11+S6*1.11</f>
        <v>0.20424000000000003</v>
      </c>
      <c r="I6" s="4"/>
      <c r="J6" s="39">
        <f t="shared" ref="J6:J69" si="4">ROUND(A6*$A$3+M6*$M$3+N6*$N$3+O6*$O$3+P6*$P$3+Q6*$Q$3+R6*$R$3+S6*$S$3+T6*$T$3+U6*$U$3+V6*$V$3+W6*$W$3+X6*$X$3+K6*$K$3+I6*$I$3,2)</f>
        <v>1595.65</v>
      </c>
      <c r="K6" s="4"/>
      <c r="L6" s="1">
        <f t="shared" ref="L6:L69" si="5">O6*0.0282</f>
        <v>3.6659999999999998E-2</v>
      </c>
      <c r="M6" s="5"/>
      <c r="N6" s="6">
        <f>ROUND(1.5*1.25/4,2)</f>
        <v>0.47</v>
      </c>
      <c r="O6" s="18">
        <f>ROUND(0.89*2*0.25*(1.5+0.75)*1.3,2)</f>
        <v>1.3</v>
      </c>
      <c r="P6" s="6">
        <v>9.4E-2</v>
      </c>
      <c r="Q6" s="3"/>
      <c r="R6" s="6">
        <v>0.09</v>
      </c>
      <c r="S6" s="6"/>
      <c r="T6" s="18">
        <v>4.4000000000000004</v>
      </c>
      <c r="U6" s="6"/>
      <c r="V6" s="6"/>
      <c r="W6" s="6">
        <v>15.42</v>
      </c>
      <c r="X6" s="3">
        <v>1</v>
      </c>
    </row>
    <row r="7" spans="1:24" ht="16.5" thickBot="1" x14ac:dyDescent="0.3">
      <c r="A7" s="3"/>
      <c r="B7" s="3"/>
      <c r="C7" s="2" t="s">
        <v>16</v>
      </c>
      <c r="D7" s="7"/>
      <c r="E7" s="1">
        <f t="shared" si="0"/>
        <v>1.4635799999999999</v>
      </c>
      <c r="F7" s="1">
        <f t="shared" si="1"/>
        <v>0.1610819</v>
      </c>
      <c r="G7" s="1">
        <f t="shared" si="2"/>
        <v>0.91383625000000013</v>
      </c>
      <c r="H7" s="1">
        <f t="shared" si="3"/>
        <v>0.20424000000000003</v>
      </c>
      <c r="I7" s="4"/>
      <c r="J7" s="39">
        <f t="shared" si="4"/>
        <v>1851.05</v>
      </c>
      <c r="K7" s="4"/>
      <c r="L7" s="1">
        <f t="shared" si="5"/>
        <v>4.8785999999999996E-2</v>
      </c>
      <c r="M7" s="5"/>
      <c r="N7" s="6">
        <f>ROUND(1.5*1.25/4,2)</f>
        <v>0.47</v>
      </c>
      <c r="O7" s="6">
        <f>ROUND(O6/1.5*2,2)</f>
        <v>1.73</v>
      </c>
      <c r="P7" s="6">
        <v>9.4E-2</v>
      </c>
      <c r="Q7" s="3"/>
      <c r="R7" s="6">
        <v>0.09</v>
      </c>
      <c r="S7" s="6"/>
      <c r="T7" s="6">
        <f>ROUND(T6/1.5*2,2)</f>
        <v>5.87</v>
      </c>
      <c r="U7" s="6"/>
      <c r="V7" s="6"/>
      <c r="W7" s="6">
        <v>15.42</v>
      </c>
      <c r="X7" s="3">
        <v>1</v>
      </c>
    </row>
    <row r="8" spans="1:24" ht="16.5" thickBot="1" x14ac:dyDescent="0.3">
      <c r="A8" s="3"/>
      <c r="B8" s="3"/>
      <c r="C8" s="2" t="s">
        <v>17</v>
      </c>
      <c r="D8" s="7"/>
      <c r="E8" s="1">
        <f t="shared" si="0"/>
        <v>1.8358199999999998</v>
      </c>
      <c r="F8" s="1">
        <f t="shared" si="1"/>
        <v>0.19012209999999999</v>
      </c>
      <c r="G8" s="1">
        <f t="shared" si="2"/>
        <v>1.09957375</v>
      </c>
      <c r="H8" s="1">
        <f t="shared" si="3"/>
        <v>0.20424000000000003</v>
      </c>
      <c r="I8" s="4"/>
      <c r="J8" s="39">
        <f t="shared" si="4"/>
        <v>2112.3000000000002</v>
      </c>
      <c r="K8" s="4"/>
      <c r="L8" s="1">
        <f t="shared" si="5"/>
        <v>6.1193999999999998E-2</v>
      </c>
      <c r="M8" s="5"/>
      <c r="N8" s="6">
        <f>ROUND(1.5*1.25/4,2)</f>
        <v>0.47</v>
      </c>
      <c r="O8" s="6">
        <f>ROUND(O6/1.5*2.5,2)</f>
        <v>2.17</v>
      </c>
      <c r="P8" s="6">
        <v>9.4E-2</v>
      </c>
      <c r="Q8" s="3"/>
      <c r="R8" s="6">
        <v>0.09</v>
      </c>
      <c r="S8" s="6"/>
      <c r="T8" s="6">
        <f>ROUND(T6/1.5*2.5,2)</f>
        <v>7.33</v>
      </c>
      <c r="U8" s="6"/>
      <c r="V8" s="6"/>
      <c r="W8" s="6">
        <v>15.42</v>
      </c>
      <c r="X8" s="3">
        <v>1</v>
      </c>
    </row>
    <row r="9" spans="1:24" ht="16.5" thickBot="1" x14ac:dyDescent="0.3">
      <c r="A9" s="3"/>
      <c r="B9" s="3"/>
      <c r="C9" s="2" t="s">
        <v>82</v>
      </c>
      <c r="D9" s="7"/>
      <c r="E9" s="1">
        <f t="shared" si="0"/>
        <v>0</v>
      </c>
      <c r="F9" s="1">
        <f t="shared" si="1"/>
        <v>0.43266000000000004</v>
      </c>
      <c r="G9" s="1">
        <f t="shared" si="2"/>
        <v>1.26997</v>
      </c>
      <c r="H9" s="1">
        <f t="shared" si="3"/>
        <v>1.5118200000000002</v>
      </c>
      <c r="I9" s="4"/>
      <c r="J9" s="39">
        <f t="shared" si="4"/>
        <v>1144.18</v>
      </c>
      <c r="K9" s="4"/>
      <c r="L9" s="1">
        <f t="shared" si="5"/>
        <v>0</v>
      </c>
      <c r="M9" s="5"/>
      <c r="N9" s="6">
        <f>N13/2</f>
        <v>1.2949999999999999</v>
      </c>
      <c r="O9" s="6"/>
      <c r="P9" s="6">
        <v>0.112</v>
      </c>
      <c r="Q9" s="3"/>
      <c r="R9" s="6">
        <f>ROUND(1.58/1.45*1.15,2)</f>
        <v>1.25</v>
      </c>
      <c r="S9" s="6"/>
      <c r="T9" s="6"/>
      <c r="U9" s="6"/>
      <c r="V9" s="6"/>
      <c r="W9" s="6"/>
      <c r="X9" s="3">
        <v>1</v>
      </c>
    </row>
    <row r="10" spans="1:24" ht="16.5" thickBot="1" x14ac:dyDescent="0.3">
      <c r="A10" s="3"/>
      <c r="B10" s="3"/>
      <c r="C10" s="2" t="s">
        <v>83</v>
      </c>
      <c r="D10" s="7"/>
      <c r="E10" s="1">
        <f t="shared" si="0"/>
        <v>0</v>
      </c>
      <c r="F10" s="1">
        <f t="shared" si="1"/>
        <v>0.54156000000000004</v>
      </c>
      <c r="G10" s="1">
        <f t="shared" si="2"/>
        <v>1.5739000000000001</v>
      </c>
      <c r="H10" s="1">
        <f t="shared" si="3"/>
        <v>1.8781200000000002</v>
      </c>
      <c r="I10" s="4"/>
      <c r="J10" s="39">
        <f t="shared" si="4"/>
        <v>1331.51</v>
      </c>
      <c r="K10" s="4"/>
      <c r="L10" s="1">
        <f t="shared" si="5"/>
        <v>0</v>
      </c>
      <c r="M10" s="5"/>
      <c r="N10" s="6">
        <f>N14/2</f>
        <v>1.635</v>
      </c>
      <c r="O10" s="6"/>
      <c r="P10" s="6">
        <v>0.112</v>
      </c>
      <c r="Q10" s="3"/>
      <c r="R10" s="6">
        <v>1.58</v>
      </c>
      <c r="S10" s="6"/>
      <c r="T10" s="6"/>
      <c r="U10" s="6"/>
      <c r="V10" s="6"/>
      <c r="W10" s="6"/>
      <c r="X10" s="3">
        <v>1</v>
      </c>
    </row>
    <row r="11" spans="1:24" ht="16.5" thickBot="1" x14ac:dyDescent="0.3">
      <c r="A11" s="3"/>
      <c r="B11" s="3"/>
      <c r="C11" s="2" t="s">
        <v>84</v>
      </c>
      <c r="D11" s="7"/>
      <c r="E11" s="1">
        <f t="shared" si="0"/>
        <v>0</v>
      </c>
      <c r="F11" s="1">
        <f t="shared" si="1"/>
        <v>0.71976000000000007</v>
      </c>
      <c r="G11" s="1">
        <f t="shared" si="2"/>
        <v>2.0712400000000004</v>
      </c>
      <c r="H11" s="1">
        <f t="shared" si="3"/>
        <v>2.4775200000000002</v>
      </c>
      <c r="I11" s="4"/>
      <c r="J11" s="39">
        <f t="shared" si="4"/>
        <v>1638.59</v>
      </c>
      <c r="K11" s="4"/>
      <c r="L11" s="1">
        <f t="shared" si="5"/>
        <v>0</v>
      </c>
      <c r="M11" s="5"/>
      <c r="N11" s="6">
        <f>N15/2</f>
        <v>2.2000000000000002</v>
      </c>
      <c r="O11" s="6"/>
      <c r="P11" s="6">
        <v>0.112</v>
      </c>
      <c r="Q11" s="3"/>
      <c r="R11" s="6">
        <f>ROUND(1.58/1.45*1.95,2)</f>
        <v>2.12</v>
      </c>
      <c r="S11" s="6"/>
      <c r="T11" s="6"/>
      <c r="U11" s="6"/>
      <c r="V11" s="6"/>
      <c r="W11" s="6"/>
      <c r="X11" s="3">
        <v>1</v>
      </c>
    </row>
    <row r="12" spans="1:24" ht="16.5" thickBot="1" x14ac:dyDescent="0.3">
      <c r="A12" s="3"/>
      <c r="B12" s="3"/>
      <c r="C12" s="2" t="s">
        <v>85</v>
      </c>
      <c r="D12" s="7"/>
      <c r="E12" s="1">
        <f t="shared" si="0"/>
        <v>0</v>
      </c>
      <c r="F12" s="1">
        <f t="shared" si="1"/>
        <v>0.90125999999999995</v>
      </c>
      <c r="G12" s="1">
        <f t="shared" si="2"/>
        <v>2.5777900000000002</v>
      </c>
      <c r="H12" s="1">
        <f t="shared" si="3"/>
        <v>3.0880200000000002</v>
      </c>
      <c r="I12" s="4"/>
      <c r="J12" s="39">
        <f t="shared" si="4"/>
        <v>1950.71</v>
      </c>
      <c r="K12" s="4"/>
      <c r="L12" s="1">
        <f t="shared" si="5"/>
        <v>0</v>
      </c>
      <c r="M12" s="5"/>
      <c r="N12" s="6">
        <f>N16/2</f>
        <v>2.7650000000000001</v>
      </c>
      <c r="O12" s="6"/>
      <c r="P12" s="6">
        <v>0.112</v>
      </c>
      <c r="Q12" s="3"/>
      <c r="R12" s="6">
        <f>ROUND(1.58/1.45*2.45,2)</f>
        <v>2.67</v>
      </c>
      <c r="S12" s="6"/>
      <c r="T12" s="6"/>
      <c r="U12" s="6"/>
      <c r="V12" s="6"/>
      <c r="W12" s="6"/>
      <c r="X12" s="3">
        <v>1</v>
      </c>
    </row>
    <row r="13" spans="1:24" ht="16.5" thickBot="1" x14ac:dyDescent="0.3">
      <c r="A13" s="3"/>
      <c r="B13" s="3"/>
      <c r="C13" s="2" t="s">
        <v>38</v>
      </c>
      <c r="D13" s="7"/>
      <c r="E13" s="1">
        <f t="shared" si="0"/>
        <v>0</v>
      </c>
      <c r="F13" s="1">
        <f t="shared" si="1"/>
        <v>0.20478000000000002</v>
      </c>
      <c r="G13" s="1">
        <f t="shared" si="2"/>
        <v>0.60275000000000001</v>
      </c>
      <c r="H13" s="1">
        <f t="shared" si="3"/>
        <v>0.71706000000000003</v>
      </c>
      <c r="I13" s="4"/>
      <c r="J13" s="39">
        <f t="shared" si="4"/>
        <v>1946.06</v>
      </c>
      <c r="K13" s="4"/>
      <c r="L13" s="1">
        <f t="shared" si="5"/>
        <v>0</v>
      </c>
      <c r="M13" s="5"/>
      <c r="N13" s="6">
        <f>ROUND(N14/1.45*1.15,2)</f>
        <v>2.59</v>
      </c>
      <c r="O13" s="6"/>
      <c r="P13" s="6">
        <f>0.112/2</f>
        <v>5.6000000000000001E-2</v>
      </c>
      <c r="Q13" s="3"/>
      <c r="R13" s="6">
        <f>ROUND(R14/1.45*1.15,2)</f>
        <v>0.59</v>
      </c>
      <c r="S13" s="6"/>
      <c r="T13" s="6"/>
      <c r="U13" s="6"/>
      <c r="V13" s="6"/>
      <c r="W13" s="6">
        <f>ROUND(W14/1.45*1.15,2)</f>
        <v>51.5</v>
      </c>
      <c r="X13" s="3">
        <v>1</v>
      </c>
    </row>
    <row r="14" spans="1:24" ht="16.5" thickBot="1" x14ac:dyDescent="0.3">
      <c r="A14" s="3"/>
      <c r="B14" s="3"/>
      <c r="C14" s="2" t="s">
        <v>35</v>
      </c>
      <c r="D14" s="7"/>
      <c r="E14" s="1">
        <f t="shared" si="0"/>
        <v>0</v>
      </c>
      <c r="F14" s="1">
        <f t="shared" si="1"/>
        <v>0.25757999999999998</v>
      </c>
      <c r="G14" s="1">
        <f t="shared" si="2"/>
        <v>0.75010999999999994</v>
      </c>
      <c r="H14" s="1">
        <f t="shared" si="3"/>
        <v>0.89466000000000001</v>
      </c>
      <c r="I14" s="4"/>
      <c r="J14" s="39">
        <f t="shared" si="4"/>
        <v>2350.13</v>
      </c>
      <c r="K14" s="4"/>
      <c r="L14" s="1">
        <f t="shared" si="5"/>
        <v>0</v>
      </c>
      <c r="M14" s="5"/>
      <c r="N14" s="18">
        <f>ROUND(9.8/3,2)</f>
        <v>3.27</v>
      </c>
      <c r="O14" s="6"/>
      <c r="P14" s="6">
        <f>0.112/2</f>
        <v>5.6000000000000001E-2</v>
      </c>
      <c r="Q14" s="3"/>
      <c r="R14" s="18">
        <v>0.75</v>
      </c>
      <c r="S14" s="18"/>
      <c r="T14" s="6"/>
      <c r="U14" s="18"/>
      <c r="V14" s="18"/>
      <c r="W14" s="18">
        <v>64.94</v>
      </c>
      <c r="X14" s="3">
        <v>1</v>
      </c>
    </row>
    <row r="15" spans="1:24" ht="16.5" thickBot="1" x14ac:dyDescent="0.3">
      <c r="A15" s="3"/>
      <c r="B15" s="3"/>
      <c r="C15" s="2" t="s">
        <v>36</v>
      </c>
      <c r="D15" s="7"/>
      <c r="E15" s="1">
        <f t="shared" si="0"/>
        <v>0</v>
      </c>
      <c r="F15" s="1">
        <f t="shared" si="1"/>
        <v>0.34338000000000002</v>
      </c>
      <c r="G15" s="1">
        <f t="shared" si="2"/>
        <v>0.98957000000000006</v>
      </c>
      <c r="H15" s="1">
        <f t="shared" si="3"/>
        <v>1.1832600000000002</v>
      </c>
      <c r="I15" s="4"/>
      <c r="J15" s="39">
        <f t="shared" si="4"/>
        <v>2551.63</v>
      </c>
      <c r="K15" s="4"/>
      <c r="L15" s="1">
        <f t="shared" si="5"/>
        <v>0</v>
      </c>
      <c r="M15" s="5"/>
      <c r="N15" s="6">
        <f>ROUND(N14/1.45*1.95,2)</f>
        <v>4.4000000000000004</v>
      </c>
      <c r="O15" s="6"/>
      <c r="P15" s="6">
        <f>0.112/2</f>
        <v>5.6000000000000001E-2</v>
      </c>
      <c r="Q15" s="3"/>
      <c r="R15" s="6">
        <f>ROUND(R14/1.45*1.95,2)</f>
        <v>1.01</v>
      </c>
      <c r="S15" s="6"/>
      <c r="T15" s="6"/>
      <c r="U15" s="6"/>
      <c r="V15" s="6"/>
      <c r="W15" s="6">
        <f>ROUND(W14/1.95*1.95,2)</f>
        <v>64.94</v>
      </c>
      <c r="X15" s="3">
        <v>1</v>
      </c>
    </row>
    <row r="16" spans="1:24" ht="16.5" thickBot="1" x14ac:dyDescent="0.3">
      <c r="A16" s="3"/>
      <c r="B16" s="3"/>
      <c r="C16" s="2" t="s">
        <v>37</v>
      </c>
      <c r="D16" s="7"/>
      <c r="E16" s="1">
        <f t="shared" si="0"/>
        <v>0</v>
      </c>
      <c r="F16" s="1">
        <f t="shared" si="1"/>
        <v>0.42918000000000001</v>
      </c>
      <c r="G16" s="1">
        <f t="shared" si="2"/>
        <v>1.2290300000000001</v>
      </c>
      <c r="H16" s="1">
        <f t="shared" si="3"/>
        <v>1.4718600000000002</v>
      </c>
      <c r="I16" s="4"/>
      <c r="J16" s="39">
        <f t="shared" si="4"/>
        <v>3101.29</v>
      </c>
      <c r="K16" s="4"/>
      <c r="L16" s="1">
        <f t="shared" si="5"/>
        <v>0</v>
      </c>
      <c r="M16" s="5"/>
      <c r="N16" s="6">
        <f>ROUND(N14/1.45*2.45,2)</f>
        <v>5.53</v>
      </c>
      <c r="O16" s="6"/>
      <c r="P16" s="6">
        <f>0.112/2</f>
        <v>5.6000000000000001E-2</v>
      </c>
      <c r="Q16" s="3"/>
      <c r="R16" s="6">
        <f>ROUND(R14/1.45*2.45,2)</f>
        <v>1.27</v>
      </c>
      <c r="S16" s="6"/>
      <c r="T16" s="6"/>
      <c r="U16" s="6"/>
      <c r="V16" s="6"/>
      <c r="W16" s="6">
        <f>ROUND(W14/1.95*2.45,2)</f>
        <v>81.59</v>
      </c>
      <c r="X16" s="3">
        <v>1</v>
      </c>
    </row>
    <row r="17" spans="1:26" ht="16.5" thickBot="1" x14ac:dyDescent="0.3">
      <c r="A17" s="3"/>
      <c r="B17" s="3"/>
      <c r="C17" s="2" t="s">
        <v>31</v>
      </c>
      <c r="D17" s="7"/>
      <c r="E17" s="1">
        <f t="shared" si="0"/>
        <v>1.6716959999999998</v>
      </c>
      <c r="F17" s="1">
        <f t="shared" si="1"/>
        <v>0.2047668</v>
      </c>
      <c r="G17" s="1">
        <f t="shared" si="2"/>
        <v>1.1293030000000002</v>
      </c>
      <c r="H17" s="1">
        <f t="shared" si="3"/>
        <v>0.38805600000000001</v>
      </c>
      <c r="I17" s="4"/>
      <c r="J17" s="39">
        <f t="shared" si="4"/>
        <v>2761.42</v>
      </c>
      <c r="K17" s="4"/>
      <c r="L17" s="1">
        <f t="shared" si="5"/>
        <v>5.5723200000000001E-2</v>
      </c>
      <c r="M17" s="5"/>
      <c r="N17" s="6">
        <f>N5*1.9</f>
        <v>0.8929999999999999</v>
      </c>
      <c r="O17" s="6">
        <f>O5*1.9</f>
        <v>1.976</v>
      </c>
      <c r="P17" s="6">
        <f>P5*1.9</f>
        <v>0.17859999999999998</v>
      </c>
      <c r="Q17" s="3"/>
      <c r="R17" s="6">
        <f>R5*1.9</f>
        <v>0.17099999999999999</v>
      </c>
      <c r="S17" s="6"/>
      <c r="T17" s="6"/>
      <c r="U17" s="6"/>
      <c r="V17" s="6"/>
      <c r="W17" s="6">
        <f>W5*1.9</f>
        <v>29.297999999999998</v>
      </c>
      <c r="X17" s="3">
        <v>2</v>
      </c>
    </row>
    <row r="18" spans="1:26" ht="16.5" thickBot="1" x14ac:dyDescent="0.3">
      <c r="A18" s="3"/>
      <c r="B18" s="3"/>
      <c r="C18" s="2" t="s">
        <v>32</v>
      </c>
      <c r="D18" s="7"/>
      <c r="E18" s="1">
        <f t="shared" si="0"/>
        <v>2.0896199999999996</v>
      </c>
      <c r="F18" s="1">
        <f t="shared" si="1"/>
        <v>0.23381399999999999</v>
      </c>
      <c r="G18" s="1">
        <f t="shared" si="2"/>
        <v>1.324927</v>
      </c>
      <c r="H18" s="1">
        <f t="shared" si="3"/>
        <v>0.38805600000000001</v>
      </c>
      <c r="I18" s="4"/>
      <c r="J18" s="39">
        <f t="shared" si="4"/>
        <v>3050.91</v>
      </c>
      <c r="K18" s="4"/>
      <c r="L18" s="1">
        <f t="shared" si="5"/>
        <v>6.9653999999999994E-2</v>
      </c>
      <c r="M18" s="5"/>
      <c r="N18" s="6">
        <f t="shared" ref="N18:P20" si="6">N6*1.9</f>
        <v>0.8929999999999999</v>
      </c>
      <c r="O18" s="6">
        <f t="shared" si="6"/>
        <v>2.4699999999999998</v>
      </c>
      <c r="P18" s="6">
        <f t="shared" si="6"/>
        <v>0.17859999999999998</v>
      </c>
      <c r="Q18" s="3"/>
      <c r="R18" s="6">
        <f>R6*1.9</f>
        <v>0.17099999999999999</v>
      </c>
      <c r="S18" s="6"/>
      <c r="T18" s="6"/>
      <c r="U18" s="6"/>
      <c r="V18" s="6"/>
      <c r="W18" s="6">
        <f>W6*1.9</f>
        <v>29.297999999999998</v>
      </c>
      <c r="X18" s="3">
        <v>2</v>
      </c>
    </row>
    <row r="19" spans="1:26" ht="16.5" thickBot="1" x14ac:dyDescent="0.3">
      <c r="A19" s="3"/>
      <c r="B19" s="3"/>
      <c r="C19" s="2" t="s">
        <v>33</v>
      </c>
      <c r="D19" s="7"/>
      <c r="E19" s="1">
        <f t="shared" si="0"/>
        <v>2.780802</v>
      </c>
      <c r="F19" s="1">
        <f t="shared" si="1"/>
        <v>0.28185359999999998</v>
      </c>
      <c r="G19" s="1">
        <f t="shared" si="2"/>
        <v>1.6484590000000001</v>
      </c>
      <c r="H19" s="1">
        <f t="shared" si="3"/>
        <v>0.38805600000000001</v>
      </c>
      <c r="I19" s="4"/>
      <c r="J19" s="39">
        <f t="shared" si="4"/>
        <v>3529.67</v>
      </c>
      <c r="K19" s="4"/>
      <c r="L19" s="1">
        <f t="shared" si="5"/>
        <v>9.2693399999999995E-2</v>
      </c>
      <c r="M19" s="5"/>
      <c r="N19" s="6">
        <f t="shared" si="6"/>
        <v>0.8929999999999999</v>
      </c>
      <c r="O19" s="6">
        <f t="shared" si="6"/>
        <v>3.2869999999999999</v>
      </c>
      <c r="P19" s="6">
        <f t="shared" si="6"/>
        <v>0.17859999999999998</v>
      </c>
      <c r="Q19" s="3"/>
      <c r="R19" s="6">
        <f>R7*1.9</f>
        <v>0.17099999999999999</v>
      </c>
      <c r="S19" s="6"/>
      <c r="T19" s="6"/>
      <c r="U19" s="6"/>
      <c r="V19" s="6"/>
      <c r="W19" s="6">
        <f>W7*1.9</f>
        <v>29.297999999999998</v>
      </c>
      <c r="X19" s="3">
        <v>2</v>
      </c>
    </row>
    <row r="20" spans="1:26" ht="16.5" thickBot="1" x14ac:dyDescent="0.3">
      <c r="A20" s="3"/>
      <c r="B20" s="3"/>
      <c r="C20" s="2" t="s">
        <v>34</v>
      </c>
      <c r="D20" s="7"/>
      <c r="E20" s="1">
        <f t="shared" si="0"/>
        <v>3.4880579999999992</v>
      </c>
      <c r="F20" s="1">
        <f t="shared" si="1"/>
        <v>0.33101039999999993</v>
      </c>
      <c r="G20" s="1">
        <f t="shared" si="2"/>
        <v>1.9795149999999999</v>
      </c>
      <c r="H20" s="1">
        <f t="shared" si="3"/>
        <v>0.38805600000000001</v>
      </c>
      <c r="I20" s="4"/>
      <c r="J20" s="39">
        <f t="shared" si="4"/>
        <v>4019.56</v>
      </c>
      <c r="K20" s="4"/>
      <c r="L20" s="1">
        <f t="shared" si="5"/>
        <v>0.11626859999999997</v>
      </c>
      <c r="M20" s="5"/>
      <c r="N20" s="6">
        <f t="shared" si="6"/>
        <v>0.8929999999999999</v>
      </c>
      <c r="O20" s="6">
        <f t="shared" si="6"/>
        <v>4.1229999999999993</v>
      </c>
      <c r="P20" s="6">
        <f t="shared" si="6"/>
        <v>0.17859999999999998</v>
      </c>
      <c r="Q20" s="3"/>
      <c r="R20" s="6">
        <f>R8*1.9</f>
        <v>0.17099999999999999</v>
      </c>
      <c r="S20" s="6"/>
      <c r="T20" s="6"/>
      <c r="U20" s="6"/>
      <c r="V20" s="6"/>
      <c r="W20" s="6">
        <f>W8*1.9</f>
        <v>29.297999999999998</v>
      </c>
      <c r="X20" s="3">
        <v>2</v>
      </c>
    </row>
    <row r="21" spans="1:26" ht="16.5" thickBot="1" x14ac:dyDescent="0.3">
      <c r="A21" s="3"/>
      <c r="B21" s="3"/>
      <c r="C21" s="2" t="s">
        <v>86</v>
      </c>
      <c r="D21" s="7"/>
      <c r="E21" s="1">
        <f t="shared" si="0"/>
        <v>0</v>
      </c>
      <c r="F21" s="1">
        <f t="shared" si="1"/>
        <v>0.82205400000000006</v>
      </c>
      <c r="G21" s="1">
        <f t="shared" si="2"/>
        <v>2.4129430000000003</v>
      </c>
      <c r="H21" s="1">
        <f t="shared" si="3"/>
        <v>2.8724580000000004</v>
      </c>
      <c r="I21" s="4"/>
      <c r="J21" s="39">
        <f t="shared" si="4"/>
        <v>2212.59</v>
      </c>
      <c r="K21" s="4"/>
      <c r="L21" s="1">
        <f t="shared" si="5"/>
        <v>0</v>
      </c>
      <c r="M21" s="5"/>
      <c r="N21" s="6">
        <f>1.9*N9</f>
        <v>2.4604999999999997</v>
      </c>
      <c r="O21" s="6"/>
      <c r="P21" s="6">
        <f t="shared" ref="P21:P28" si="7">1.9*P9</f>
        <v>0.21279999999999999</v>
      </c>
      <c r="Q21" s="3"/>
      <c r="R21" s="6">
        <f t="shared" ref="R21:R28" si="8">1.9*R9</f>
        <v>2.375</v>
      </c>
      <c r="S21" s="6"/>
      <c r="T21" s="6"/>
      <c r="U21" s="6"/>
      <c r="V21" s="6"/>
      <c r="W21" s="6"/>
      <c r="X21" s="3">
        <v>2</v>
      </c>
    </row>
    <row r="22" spans="1:26" ht="16.5" thickBot="1" x14ac:dyDescent="0.3">
      <c r="A22" s="3"/>
      <c r="B22" s="3"/>
      <c r="C22" s="2" t="s">
        <v>87</v>
      </c>
      <c r="D22" s="7"/>
      <c r="E22" s="1">
        <f t="shared" si="0"/>
        <v>0</v>
      </c>
      <c r="F22" s="1">
        <f t="shared" si="1"/>
        <v>1.028964</v>
      </c>
      <c r="G22" s="1">
        <f t="shared" si="2"/>
        <v>2.9904099999999998</v>
      </c>
      <c r="H22" s="1">
        <f t="shared" si="3"/>
        <v>3.5684279999999999</v>
      </c>
      <c r="I22" s="4"/>
      <c r="J22" s="39">
        <f t="shared" si="4"/>
        <v>2568.52</v>
      </c>
      <c r="K22" s="4"/>
      <c r="L22" s="1">
        <f t="shared" si="5"/>
        <v>0</v>
      </c>
      <c r="M22" s="5"/>
      <c r="N22" s="6">
        <f t="shared" ref="N22:N28" si="9">1.9*N10</f>
        <v>3.1065</v>
      </c>
      <c r="O22" s="6"/>
      <c r="P22" s="6">
        <f t="shared" si="7"/>
        <v>0.21279999999999999</v>
      </c>
      <c r="Q22" s="3"/>
      <c r="R22" s="6">
        <f t="shared" si="8"/>
        <v>3.0019999999999998</v>
      </c>
      <c r="S22" s="6"/>
      <c r="T22" s="6"/>
      <c r="U22" s="6"/>
      <c r="V22" s="6"/>
      <c r="W22" s="6"/>
      <c r="X22" s="3">
        <v>2</v>
      </c>
    </row>
    <row r="23" spans="1:26" ht="16.5" thickBot="1" x14ac:dyDescent="0.3">
      <c r="A23" s="3"/>
      <c r="B23" s="3"/>
      <c r="C23" s="2" t="s">
        <v>88</v>
      </c>
      <c r="D23" s="7"/>
      <c r="E23" s="1">
        <f t="shared" si="0"/>
        <v>0</v>
      </c>
      <c r="F23" s="1">
        <f t="shared" si="1"/>
        <v>1.3675439999999999</v>
      </c>
      <c r="G23" s="1">
        <f t="shared" si="2"/>
        <v>3.9353559999999996</v>
      </c>
      <c r="H23" s="1">
        <f t="shared" si="3"/>
        <v>4.7072880000000001</v>
      </c>
      <c r="I23" s="4"/>
      <c r="J23" s="39">
        <f t="shared" si="4"/>
        <v>3151.98</v>
      </c>
      <c r="K23" s="4"/>
      <c r="L23" s="1">
        <f t="shared" si="5"/>
        <v>0</v>
      </c>
      <c r="M23" s="5"/>
      <c r="N23" s="6">
        <f t="shared" si="9"/>
        <v>4.18</v>
      </c>
      <c r="O23" s="6"/>
      <c r="P23" s="6">
        <f t="shared" si="7"/>
        <v>0.21279999999999999</v>
      </c>
      <c r="Q23" s="3"/>
      <c r="R23" s="6">
        <f t="shared" si="8"/>
        <v>4.0279999999999996</v>
      </c>
      <c r="S23" s="6"/>
      <c r="T23" s="6"/>
      <c r="U23" s="6"/>
      <c r="V23" s="6"/>
      <c r="W23" s="6"/>
      <c r="X23" s="3">
        <v>2</v>
      </c>
    </row>
    <row r="24" spans="1:26" ht="16.5" thickBot="1" x14ac:dyDescent="0.3">
      <c r="A24" s="3"/>
      <c r="B24" s="3"/>
      <c r="C24" s="2" t="s">
        <v>89</v>
      </c>
      <c r="D24" s="7"/>
      <c r="E24" s="1">
        <f t="shared" si="0"/>
        <v>0</v>
      </c>
      <c r="F24" s="1">
        <f t="shared" si="1"/>
        <v>1.7123939999999997</v>
      </c>
      <c r="G24" s="1">
        <f t="shared" si="2"/>
        <v>4.8978009999999994</v>
      </c>
      <c r="H24" s="1">
        <f t="shared" si="3"/>
        <v>5.8672380000000004</v>
      </c>
      <c r="I24" s="4"/>
      <c r="J24" s="39">
        <f t="shared" si="4"/>
        <v>3745</v>
      </c>
      <c r="K24" s="4"/>
      <c r="L24" s="1">
        <f t="shared" si="5"/>
        <v>0</v>
      </c>
      <c r="M24" s="5"/>
      <c r="N24" s="6">
        <f t="shared" si="9"/>
        <v>5.2534999999999998</v>
      </c>
      <c r="O24" s="6"/>
      <c r="P24" s="6">
        <f t="shared" si="7"/>
        <v>0.21279999999999999</v>
      </c>
      <c r="Q24" s="3"/>
      <c r="R24" s="6">
        <f t="shared" si="8"/>
        <v>5.0729999999999995</v>
      </c>
      <c r="S24" s="6"/>
      <c r="T24" s="6"/>
      <c r="U24" s="6"/>
      <c r="V24" s="6"/>
      <c r="W24" s="6"/>
      <c r="X24" s="3">
        <v>2</v>
      </c>
    </row>
    <row r="25" spans="1:26" ht="16.5" thickBot="1" x14ac:dyDescent="0.3">
      <c r="A25" s="3"/>
      <c r="B25" s="3"/>
      <c r="C25" s="2" t="s">
        <v>42</v>
      </c>
      <c r="D25" s="7"/>
      <c r="E25" s="1">
        <f t="shared" si="0"/>
        <v>0</v>
      </c>
      <c r="F25" s="1">
        <f t="shared" si="1"/>
        <v>0.38908200000000004</v>
      </c>
      <c r="G25" s="1">
        <f t="shared" si="2"/>
        <v>1.1452249999999999</v>
      </c>
      <c r="H25" s="1">
        <f t="shared" si="3"/>
        <v>1.362414</v>
      </c>
      <c r="I25" s="4"/>
      <c r="J25" s="39">
        <f t="shared" si="4"/>
        <v>3736.16</v>
      </c>
      <c r="K25" s="4"/>
      <c r="L25" s="1">
        <f t="shared" si="5"/>
        <v>0</v>
      </c>
      <c r="M25" s="5"/>
      <c r="N25" s="6">
        <f>1.9*N13</f>
        <v>4.9209999999999994</v>
      </c>
      <c r="O25" s="6"/>
      <c r="P25" s="6">
        <f t="shared" si="7"/>
        <v>0.10639999999999999</v>
      </c>
      <c r="Q25" s="3"/>
      <c r="R25" s="6">
        <f>1.9*R13</f>
        <v>1.121</v>
      </c>
      <c r="S25" s="6"/>
      <c r="T25" s="6"/>
      <c r="U25" s="6"/>
      <c r="V25" s="6"/>
      <c r="W25" s="6">
        <f>1.9*W13</f>
        <v>97.85</v>
      </c>
      <c r="X25" s="3">
        <v>2</v>
      </c>
    </row>
    <row r="26" spans="1:26" ht="16.5" thickBot="1" x14ac:dyDescent="0.3">
      <c r="A26" s="3"/>
      <c r="B26" s="3"/>
      <c r="C26" s="2" t="s">
        <v>39</v>
      </c>
      <c r="D26" s="7"/>
      <c r="E26" s="1">
        <f t="shared" si="0"/>
        <v>0</v>
      </c>
      <c r="F26" s="1">
        <f t="shared" si="1"/>
        <v>0.48940199999999995</v>
      </c>
      <c r="G26" s="1">
        <f t="shared" si="2"/>
        <v>1.4252089999999999</v>
      </c>
      <c r="H26" s="1">
        <f t="shared" si="3"/>
        <v>1.699854</v>
      </c>
      <c r="I26" s="4"/>
      <c r="J26" s="39">
        <f t="shared" si="4"/>
        <v>4503.8999999999996</v>
      </c>
      <c r="K26" s="4"/>
      <c r="L26" s="1">
        <f t="shared" si="5"/>
        <v>0</v>
      </c>
      <c r="M26" s="5"/>
      <c r="N26" s="6">
        <f t="shared" si="9"/>
        <v>6.2130000000000001</v>
      </c>
      <c r="O26" s="6"/>
      <c r="P26" s="6">
        <f t="shared" si="7"/>
        <v>0.10639999999999999</v>
      </c>
      <c r="Q26" s="3"/>
      <c r="R26" s="6">
        <f t="shared" si="8"/>
        <v>1.4249999999999998</v>
      </c>
      <c r="S26" s="6"/>
      <c r="T26" s="6"/>
      <c r="U26" s="6"/>
      <c r="V26" s="6"/>
      <c r="W26" s="6">
        <f>1.9*W14</f>
        <v>123.386</v>
      </c>
      <c r="X26" s="3">
        <v>2</v>
      </c>
    </row>
    <row r="27" spans="1:26" ht="16.5" thickBot="1" x14ac:dyDescent="0.3">
      <c r="A27" s="3"/>
      <c r="B27" s="3"/>
      <c r="C27" s="2" t="s">
        <v>40</v>
      </c>
      <c r="D27" s="7"/>
      <c r="E27" s="1">
        <f t="shared" si="0"/>
        <v>0</v>
      </c>
      <c r="F27" s="1">
        <f t="shared" si="1"/>
        <v>0.65242199999999995</v>
      </c>
      <c r="G27" s="1">
        <f t="shared" si="2"/>
        <v>1.8801829999999999</v>
      </c>
      <c r="H27" s="1">
        <f t="shared" si="3"/>
        <v>2.2481940000000002</v>
      </c>
      <c r="I27" s="4"/>
      <c r="J27" s="39">
        <f t="shared" si="4"/>
        <v>4886.76</v>
      </c>
      <c r="K27" s="4"/>
      <c r="L27" s="1">
        <f t="shared" si="5"/>
        <v>0</v>
      </c>
      <c r="M27" s="5"/>
      <c r="N27" s="6">
        <f t="shared" si="9"/>
        <v>8.36</v>
      </c>
      <c r="O27" s="6"/>
      <c r="P27" s="6">
        <f t="shared" si="7"/>
        <v>0.10639999999999999</v>
      </c>
      <c r="Q27" s="3"/>
      <c r="R27" s="6">
        <f t="shared" si="8"/>
        <v>1.9189999999999998</v>
      </c>
      <c r="S27" s="6"/>
      <c r="T27" s="6"/>
      <c r="U27" s="6"/>
      <c r="V27" s="6"/>
      <c r="W27" s="6">
        <f>1.9*W15</f>
        <v>123.386</v>
      </c>
      <c r="X27" s="3">
        <v>2</v>
      </c>
    </row>
    <row r="28" spans="1:26" ht="16.5" thickBot="1" x14ac:dyDescent="0.3">
      <c r="A28" s="3"/>
      <c r="B28" s="3"/>
      <c r="C28" s="2" t="s">
        <v>41</v>
      </c>
      <c r="D28" s="7"/>
      <c r="E28" s="1">
        <f t="shared" si="0"/>
        <v>0</v>
      </c>
      <c r="F28" s="1">
        <f t="shared" si="1"/>
        <v>0.81544199999999989</v>
      </c>
      <c r="G28" s="1">
        <f t="shared" si="2"/>
        <v>2.3351569999999997</v>
      </c>
      <c r="H28" s="1">
        <f t="shared" si="3"/>
        <v>2.7965340000000003</v>
      </c>
      <c r="I28" s="4"/>
      <c r="J28" s="39">
        <f t="shared" si="4"/>
        <v>5931.1</v>
      </c>
      <c r="K28" s="4"/>
      <c r="L28" s="1">
        <f t="shared" si="5"/>
        <v>0</v>
      </c>
      <c r="M28" s="5"/>
      <c r="N28" s="6">
        <f t="shared" si="9"/>
        <v>10.507</v>
      </c>
      <c r="O28" s="6"/>
      <c r="P28" s="6">
        <f t="shared" si="7"/>
        <v>0.10639999999999999</v>
      </c>
      <c r="Q28" s="3"/>
      <c r="R28" s="6">
        <f t="shared" si="8"/>
        <v>2.4129999999999998</v>
      </c>
      <c r="S28" s="6"/>
      <c r="T28" s="6"/>
      <c r="U28" s="6"/>
      <c r="V28" s="6"/>
      <c r="W28" s="6">
        <f>1.9*W16</f>
        <v>155.02099999999999</v>
      </c>
      <c r="X28" s="3">
        <v>2</v>
      </c>
    </row>
    <row r="29" spans="1:26" s="35" customFormat="1" ht="16.5" thickBot="1" x14ac:dyDescent="0.3">
      <c r="A29" s="28"/>
      <c r="B29" s="28"/>
      <c r="C29" s="32" t="s">
        <v>29</v>
      </c>
      <c r="D29" s="33"/>
      <c r="E29" s="34">
        <f t="shared" si="0"/>
        <v>0.17055359999999997</v>
      </c>
      <c r="F29" s="34">
        <f t="shared" si="1"/>
        <v>9.9453823999999996E-2</v>
      </c>
      <c r="G29" s="34">
        <f t="shared" si="2"/>
        <v>0.3618486528</v>
      </c>
      <c r="H29" s="1">
        <f t="shared" si="3"/>
        <v>0.308576448</v>
      </c>
      <c r="I29" s="29"/>
      <c r="J29" s="39">
        <f t="shared" si="4"/>
        <v>460.93</v>
      </c>
      <c r="K29" s="29"/>
      <c r="L29" s="34">
        <f t="shared" si="5"/>
        <v>5.6851199999999992E-3</v>
      </c>
      <c r="M29" s="31"/>
      <c r="N29" s="30">
        <f>(0.88*0.88+4*0.09*0.09*0.8)/2.5</f>
        <v>0.32012799999999997</v>
      </c>
      <c r="O29" s="30">
        <f>2*(0.7+0.7)*0.8*0.09</f>
        <v>0.20159999999999997</v>
      </c>
      <c r="P29" s="30">
        <v>0.06</v>
      </c>
      <c r="Q29" s="28"/>
      <c r="R29" s="30">
        <f>3*N29*2*0.1+0.09*0.09*0.8*4</f>
        <v>0.21799679999999999</v>
      </c>
      <c r="S29" s="30"/>
      <c r="T29" s="30">
        <f>4*(0.7+0.7)/2*0.8</f>
        <v>2.2399999999999998</v>
      </c>
      <c r="U29" s="30"/>
      <c r="V29" s="30"/>
      <c r="W29" s="6">
        <f>40*R29</f>
        <v>8.7198719999999987</v>
      </c>
      <c r="X29" s="28"/>
      <c r="Y29"/>
      <c r="Z29"/>
    </row>
    <row r="30" spans="1:26" ht="16.5" thickBot="1" x14ac:dyDescent="0.3">
      <c r="A30" s="3"/>
      <c r="B30" s="3"/>
      <c r="C30" s="2" t="s">
        <v>30</v>
      </c>
      <c r="D30" s="7"/>
      <c r="E30" s="1">
        <f t="shared" si="0"/>
        <v>0.28019519999999998</v>
      </c>
      <c r="F30" s="1">
        <f t="shared" si="1"/>
        <v>0.14735024000000002</v>
      </c>
      <c r="G30" s="1">
        <f t="shared" si="2"/>
        <v>0.52819569600000005</v>
      </c>
      <c r="H30" s="1">
        <f t="shared" si="3"/>
        <v>0.43353936000000004</v>
      </c>
      <c r="I30" s="4"/>
      <c r="J30" s="39">
        <f t="shared" si="4"/>
        <v>702.1</v>
      </c>
      <c r="K30" s="4"/>
      <c r="L30" s="1">
        <f t="shared" si="5"/>
        <v>9.3398400000000003E-3</v>
      </c>
      <c r="M30" s="5"/>
      <c r="N30" s="6">
        <f>(1.1*1.1+4*0.09*0.09*1)/2.5</f>
        <v>0.49696000000000007</v>
      </c>
      <c r="O30" s="6">
        <f>2*(0.92+0.92)*1*0.09</f>
        <v>0.33119999999999999</v>
      </c>
      <c r="P30" s="6">
        <v>0.06</v>
      </c>
      <c r="Q30" s="3"/>
      <c r="R30" s="6">
        <f>3*N30*2*0.1+0.09*0.09*1*4</f>
        <v>0.33057600000000004</v>
      </c>
      <c r="S30" s="6"/>
      <c r="T30" s="6">
        <f>4*(0.92+0.92)/2*1</f>
        <v>3.68</v>
      </c>
      <c r="U30" s="6"/>
      <c r="V30" s="6"/>
      <c r="W30" s="6">
        <f>40*R30</f>
        <v>13.223040000000001</v>
      </c>
      <c r="X30" s="3"/>
    </row>
    <row r="31" spans="1:26" ht="16.5" thickBot="1" x14ac:dyDescent="0.3">
      <c r="A31" s="3"/>
      <c r="B31" s="3"/>
      <c r="C31" s="2" t="s">
        <v>18</v>
      </c>
      <c r="D31" s="7"/>
      <c r="E31" s="1">
        <f t="shared" si="0"/>
        <v>0.6822144</v>
      </c>
      <c r="F31" s="1">
        <f t="shared" si="1"/>
        <v>0.25613760000000002</v>
      </c>
      <c r="G31" s="1">
        <f t="shared" si="2"/>
        <v>0.95694329600000005</v>
      </c>
      <c r="H31" s="1">
        <f t="shared" si="3"/>
        <v>0.70038336000000012</v>
      </c>
      <c r="I31" s="4"/>
      <c r="J31" s="39">
        <f t="shared" si="4"/>
        <v>1305.72</v>
      </c>
      <c r="K31" s="4"/>
      <c r="L31" s="1">
        <f t="shared" si="5"/>
        <v>2.274048E-2</v>
      </c>
      <c r="M31" s="5"/>
      <c r="N31" s="6">
        <f>(1.48*1.48+4*0.14*0.14*1.2)/3</f>
        <v>0.76149333333333324</v>
      </c>
      <c r="O31" s="6">
        <f>2*(1.2+1.2)*1.2*0.14</f>
        <v>0.80640000000000001</v>
      </c>
      <c r="P31" s="6">
        <v>0.08</v>
      </c>
      <c r="Q31" s="3"/>
      <c r="R31" s="6">
        <f>3*N31*2*0.1+0.14*0.14*1.2*4</f>
        <v>0.55097600000000002</v>
      </c>
      <c r="S31" s="6"/>
      <c r="T31" s="6">
        <f>4*(1.2+1.2)/2*1.2</f>
        <v>5.76</v>
      </c>
      <c r="U31" s="6"/>
      <c r="V31" s="6"/>
      <c r="W31" s="6">
        <f>40*R31</f>
        <v>22.03904</v>
      </c>
      <c r="X31" s="3"/>
    </row>
    <row r="32" spans="1:26" ht="16.5" thickBot="1" x14ac:dyDescent="0.3">
      <c r="A32" s="3"/>
      <c r="B32" s="3"/>
      <c r="C32" s="2" t="s">
        <v>19</v>
      </c>
      <c r="D32" s="7"/>
      <c r="E32" s="1">
        <f t="shared" si="0"/>
        <v>0.92856959999999988</v>
      </c>
      <c r="F32" s="1">
        <f t="shared" si="1"/>
        <v>0.33109503999999995</v>
      </c>
      <c r="G32" s="1">
        <f t="shared" si="2"/>
        <v>1.2541824319999999</v>
      </c>
      <c r="H32" s="1">
        <f t="shared" si="3"/>
        <v>0.89487311999999997</v>
      </c>
      <c r="I32" s="4"/>
      <c r="J32" s="39">
        <f t="shared" si="4"/>
        <v>1702.01</v>
      </c>
      <c r="K32" s="4"/>
      <c r="L32" s="1">
        <f t="shared" si="5"/>
        <v>3.0952319999999998E-2</v>
      </c>
      <c r="M32" s="5"/>
      <c r="N32" s="6">
        <f>(1.68*1.68+4*0.14*0.14*1.4)/3</f>
        <v>0.97738666666666651</v>
      </c>
      <c r="O32" s="6">
        <f>2*(1.4+1.4)*1.4*0.14</f>
        <v>1.0975999999999999</v>
      </c>
      <c r="P32" s="6">
        <v>0.11</v>
      </c>
      <c r="Q32" s="3"/>
      <c r="R32" s="6">
        <f>3*N32*2*0.1+0.14*0.14*1.4*4</f>
        <v>0.69619199999999992</v>
      </c>
      <c r="S32" s="6"/>
      <c r="T32" s="6">
        <f>4*(1.4+1.4)/2*1.4</f>
        <v>7.839999999999999</v>
      </c>
      <c r="U32" s="6"/>
      <c r="V32" s="6"/>
      <c r="W32" s="6">
        <f>40*R32</f>
        <v>27.847679999999997</v>
      </c>
      <c r="X32" s="3"/>
    </row>
    <row r="33" spans="1:24" ht="16.5" thickBot="1" x14ac:dyDescent="0.3">
      <c r="A33" s="3"/>
      <c r="B33" s="3"/>
      <c r="C33" s="2" t="s">
        <v>20</v>
      </c>
      <c r="D33" s="7"/>
      <c r="E33" s="1">
        <f t="shared" si="0"/>
        <v>1.3189478400000001</v>
      </c>
      <c r="F33" s="1">
        <f t="shared" si="1"/>
        <v>0.45250179200000007</v>
      </c>
      <c r="G33" s="1">
        <f t="shared" si="2"/>
        <v>1.7334338080000002</v>
      </c>
      <c r="H33" s="1">
        <f t="shared" si="3"/>
        <v>1.2150148800000002</v>
      </c>
      <c r="I33" s="4"/>
      <c r="J33" s="39">
        <f t="shared" si="4"/>
        <v>2343.36</v>
      </c>
      <c r="K33" s="4"/>
      <c r="L33" s="1">
        <f t="shared" si="5"/>
        <v>4.3964928000000007E-2</v>
      </c>
      <c r="M33" s="5"/>
      <c r="N33" s="6">
        <f>(1.98*1.98+4*0.14*0.14*1.6)/3</f>
        <v>1.3486133333333334</v>
      </c>
      <c r="O33" s="6">
        <f>2*(1.7+1.78)*1.6*0.14</f>
        <v>1.5590400000000002</v>
      </c>
      <c r="P33" s="6">
        <v>0.16</v>
      </c>
      <c r="Q33" s="3"/>
      <c r="R33" s="6">
        <f>3*N33*2*0.1+0.14*0.14*1.6*4</f>
        <v>0.93460800000000011</v>
      </c>
      <c r="S33" s="6"/>
      <c r="T33" s="6">
        <f>4*(1.7+1.7)/2*1.6</f>
        <v>10.88</v>
      </c>
      <c r="U33" s="6"/>
      <c r="V33" s="6"/>
      <c r="W33" s="6">
        <f>40*R33</f>
        <v>37.384320000000002</v>
      </c>
      <c r="X33" s="3"/>
    </row>
    <row r="34" spans="1:24" ht="16.5" thickBot="1" x14ac:dyDescent="0.3">
      <c r="A34" s="3"/>
      <c r="B34" s="3"/>
      <c r="C34" s="2" t="s">
        <v>90</v>
      </c>
      <c r="D34" s="7"/>
      <c r="E34" s="1">
        <f t="shared" si="0"/>
        <v>0</v>
      </c>
      <c r="F34" s="1">
        <f t="shared" si="1"/>
        <v>0.1320288</v>
      </c>
      <c r="G34" s="1">
        <f t="shared" si="2"/>
        <v>0.40193856</v>
      </c>
      <c r="H34" s="1">
        <f t="shared" si="3"/>
        <v>0.47436960000000006</v>
      </c>
      <c r="I34" s="4"/>
      <c r="J34" s="39">
        <f t="shared" si="4"/>
        <v>452.08</v>
      </c>
      <c r="K34" s="4"/>
      <c r="L34" s="1">
        <f t="shared" si="5"/>
        <v>0</v>
      </c>
      <c r="M34" s="5"/>
      <c r="N34" s="6">
        <f>N39/2</f>
        <v>0.94933333333333358</v>
      </c>
      <c r="O34" s="6"/>
      <c r="P34" s="6">
        <v>0.06</v>
      </c>
      <c r="Q34" s="3"/>
      <c r="R34" s="6">
        <f>(4*0.8*0.12*(0.7+0.88)/2+(0.8*0.8)*0.1)</f>
        <v>0.36736000000000002</v>
      </c>
      <c r="S34" s="6"/>
      <c r="T34" s="6"/>
      <c r="U34" s="6"/>
      <c r="V34" s="6"/>
      <c r="W34" s="6">
        <f>W29</f>
        <v>8.7198719999999987</v>
      </c>
      <c r="X34" s="3"/>
    </row>
    <row r="35" spans="1:24" ht="16.5" thickBot="1" x14ac:dyDescent="0.3">
      <c r="A35" s="3"/>
      <c r="B35" s="3"/>
      <c r="C35" s="2" t="s">
        <v>91</v>
      </c>
      <c r="D35" s="7"/>
      <c r="E35" s="1">
        <f t="shared" si="0"/>
        <v>0</v>
      </c>
      <c r="F35" s="1">
        <f t="shared" si="1"/>
        <v>0.20444730000000003</v>
      </c>
      <c r="G35" s="1">
        <f t="shared" si="2"/>
        <v>0.60405201000000008</v>
      </c>
      <c r="H35" s="1">
        <f t="shared" si="3"/>
        <v>0.71795910000000007</v>
      </c>
      <c r="I35" s="4"/>
      <c r="J35" s="39">
        <f t="shared" si="4"/>
        <v>692.16</v>
      </c>
      <c r="K35" s="4"/>
      <c r="L35" s="1">
        <f t="shared" si="5"/>
        <v>0</v>
      </c>
      <c r="M35" s="5"/>
      <c r="N35" s="6">
        <f>N40/2</f>
        <v>1.5166833333333332</v>
      </c>
      <c r="O35" s="6"/>
      <c r="P35" s="6">
        <v>0.06</v>
      </c>
      <c r="Q35" s="3"/>
      <c r="R35" s="6">
        <f>(4*1*0.12*(0.92+1.1)/2+(1.01*1.01)*0.1)</f>
        <v>0.58681000000000005</v>
      </c>
      <c r="S35" s="6"/>
      <c r="T35" s="6"/>
      <c r="U35" s="6"/>
      <c r="V35" s="6"/>
      <c r="W35" s="6">
        <f>W30</f>
        <v>13.223040000000001</v>
      </c>
      <c r="X35" s="3"/>
    </row>
    <row r="36" spans="1:24" ht="16.5" thickBot="1" x14ac:dyDescent="0.3">
      <c r="A36" s="3"/>
      <c r="B36" s="3"/>
      <c r="C36" s="2" t="s">
        <v>92</v>
      </c>
      <c r="D36" s="7"/>
      <c r="E36" s="1">
        <f t="shared" si="0"/>
        <v>0</v>
      </c>
      <c r="F36" s="1">
        <f t="shared" si="1"/>
        <v>0.38327894999999995</v>
      </c>
      <c r="G36" s="1">
        <f t="shared" si="2"/>
        <v>1.1143076149999998</v>
      </c>
      <c r="H36" s="1">
        <f t="shared" si="3"/>
        <v>1.3295746499999999</v>
      </c>
      <c r="I36" s="4"/>
      <c r="J36" s="39">
        <f t="shared" si="4"/>
        <v>1210.17</v>
      </c>
      <c r="K36" s="4"/>
      <c r="L36" s="1">
        <f t="shared" si="5"/>
        <v>0</v>
      </c>
      <c r="M36" s="5"/>
      <c r="N36" s="6">
        <f>N41/2</f>
        <v>2.4432666666666667</v>
      </c>
      <c r="O36" s="6"/>
      <c r="P36" s="6">
        <v>0.08</v>
      </c>
      <c r="Q36" s="3"/>
      <c r="R36" s="6">
        <f>(4*1.2*0.15*(1.2+1.48)/2+(1.01*1.01)*0.15)</f>
        <v>1.1178149999999998</v>
      </c>
      <c r="S36" s="6"/>
      <c r="T36" s="6"/>
      <c r="U36" s="6"/>
      <c r="V36" s="6"/>
      <c r="W36" s="6">
        <f>W31</f>
        <v>22.03904</v>
      </c>
      <c r="X36" s="3"/>
    </row>
    <row r="37" spans="1:24" ht="16.5" thickBot="1" x14ac:dyDescent="0.3">
      <c r="A37" s="3"/>
      <c r="B37" s="3"/>
      <c r="C37" s="2" t="s">
        <v>93</v>
      </c>
      <c r="D37" s="7"/>
      <c r="E37" s="1">
        <f t="shared" si="0"/>
        <v>0</v>
      </c>
      <c r="F37" s="1">
        <f t="shared" si="1"/>
        <v>0.56408220000000009</v>
      </c>
      <c r="G37" s="1">
        <f t="shared" si="2"/>
        <v>1.6356421400000001</v>
      </c>
      <c r="H37" s="1">
        <f t="shared" si="3"/>
        <v>1.9528674000000004</v>
      </c>
      <c r="I37" s="4"/>
      <c r="J37" s="39">
        <f t="shared" si="4"/>
        <v>1663.57</v>
      </c>
      <c r="K37" s="4"/>
      <c r="L37" s="1">
        <f t="shared" si="5"/>
        <v>0</v>
      </c>
      <c r="M37" s="5"/>
      <c r="N37" s="6">
        <f>N42/2</f>
        <v>3.2699333333333329</v>
      </c>
      <c r="O37" s="6"/>
      <c r="P37" s="6">
        <v>0.11</v>
      </c>
      <c r="Q37" s="3"/>
      <c r="R37" s="6">
        <f>(4*1.4*0.15*(1.4+1.68)/2+(1.54*1.54)*0.15)</f>
        <v>1.64934</v>
      </c>
      <c r="S37" s="6"/>
      <c r="T37" s="6"/>
      <c r="U37" s="6"/>
      <c r="V37" s="6"/>
      <c r="W37" s="6">
        <f>W32</f>
        <v>27.847679999999997</v>
      </c>
      <c r="X37" s="3"/>
    </row>
    <row r="38" spans="1:24" ht="16.5" thickBot="1" x14ac:dyDescent="0.3">
      <c r="A38" s="3"/>
      <c r="B38" s="3"/>
      <c r="C38" s="2" t="s">
        <v>94</v>
      </c>
      <c r="D38" s="7"/>
      <c r="E38" s="1">
        <f t="shared" si="0"/>
        <v>0</v>
      </c>
      <c r="F38" s="1">
        <f t="shared" si="1"/>
        <v>0.77929919999999997</v>
      </c>
      <c r="G38" s="1">
        <f t="shared" si="2"/>
        <v>2.26417504</v>
      </c>
      <c r="H38" s="1">
        <f t="shared" si="3"/>
        <v>2.7020064000000001</v>
      </c>
      <c r="I38" s="4"/>
      <c r="J38" s="39">
        <f t="shared" si="4"/>
        <v>2274.9899999999998</v>
      </c>
      <c r="K38" s="4"/>
      <c r="L38" s="1">
        <f t="shared" si="5"/>
        <v>0</v>
      </c>
      <c r="M38" s="5"/>
      <c r="N38" s="6">
        <f>N43/2</f>
        <v>4.4896000000000003</v>
      </c>
      <c r="O38" s="6"/>
      <c r="P38" s="6">
        <v>0.16</v>
      </c>
      <c r="Q38" s="3"/>
      <c r="R38" s="6">
        <f>(4*1.6*0.15*(1.7+1.98)/2+(1.84*1.84)*0.15)</f>
        <v>2.2742399999999998</v>
      </c>
      <c r="S38" s="6"/>
      <c r="T38" s="6"/>
      <c r="U38" s="6"/>
      <c r="V38" s="6"/>
      <c r="W38" s="6">
        <f>W33</f>
        <v>37.384320000000002</v>
      </c>
      <c r="X38" s="3"/>
    </row>
    <row r="39" spans="1:24" ht="16.5" thickBot="1" x14ac:dyDescent="0.3">
      <c r="A39" s="3"/>
      <c r="B39" s="3"/>
      <c r="C39" s="2" t="s">
        <v>95</v>
      </c>
      <c r="D39" s="7"/>
      <c r="E39" s="1">
        <f t="shared" si="0"/>
        <v>0</v>
      </c>
      <c r="F39" s="1">
        <f t="shared" si="1"/>
        <v>0.13625280000000003</v>
      </c>
      <c r="G39" s="1">
        <f t="shared" si="2"/>
        <v>0.41372736000000004</v>
      </c>
      <c r="H39" s="1">
        <f t="shared" si="3"/>
        <v>0.48857760000000011</v>
      </c>
      <c r="I39" s="4"/>
      <c r="J39" s="39">
        <f t="shared" si="4"/>
        <v>931.7</v>
      </c>
      <c r="K39" s="4"/>
      <c r="L39" s="1">
        <f t="shared" si="5"/>
        <v>0</v>
      </c>
      <c r="M39" s="5"/>
      <c r="N39" s="6">
        <f>(4*0.8*(0.7+0.88)+(0.8*0.8))/3</f>
        <v>1.8986666666666672</v>
      </c>
      <c r="O39" s="6"/>
      <c r="P39" s="6">
        <v>0.06</v>
      </c>
      <c r="Q39" s="3"/>
      <c r="R39" s="6">
        <f>(4*0.8*0.12*(0.7+0.88)/2+(0.8*0.8)*0.12)</f>
        <v>0.38016000000000005</v>
      </c>
      <c r="S39" s="6"/>
      <c r="T39" s="6"/>
      <c r="U39" s="6"/>
      <c r="V39" s="6"/>
      <c r="W39" s="6">
        <f>ROUND(R39*75,2)</f>
        <v>28.51</v>
      </c>
      <c r="X39" s="3"/>
    </row>
    <row r="40" spans="1:24" ht="16.5" thickBot="1" x14ac:dyDescent="0.3">
      <c r="A40" s="3"/>
      <c r="B40" s="3"/>
      <c r="C40" s="2" t="s">
        <v>96</v>
      </c>
      <c r="D40" s="7"/>
      <c r="E40" s="1">
        <f t="shared" si="0"/>
        <v>0</v>
      </c>
      <c r="F40" s="1">
        <f t="shared" si="1"/>
        <v>0.21117996</v>
      </c>
      <c r="G40" s="1">
        <f t="shared" si="2"/>
        <v>0.62284225199999999</v>
      </c>
      <c r="H40" s="1">
        <f t="shared" si="3"/>
        <v>0.74060532000000001</v>
      </c>
      <c r="I40" s="4"/>
      <c r="J40" s="39">
        <f t="shared" si="4"/>
        <v>1473.01</v>
      </c>
      <c r="K40" s="4"/>
      <c r="L40" s="1">
        <f t="shared" si="5"/>
        <v>0</v>
      </c>
      <c r="M40" s="5"/>
      <c r="N40" s="6">
        <f>(4*1*(0.92+1.1)+(1.01*1.01))/3</f>
        <v>3.0333666666666663</v>
      </c>
      <c r="O40" s="6"/>
      <c r="P40" s="6">
        <v>0.06</v>
      </c>
      <c r="Q40" s="3"/>
      <c r="R40" s="6">
        <f>(4*1*0.12*(0.92+1.1)/2+(1.01*1.01)*0.12)</f>
        <v>0.60721199999999997</v>
      </c>
      <c r="S40" s="6"/>
      <c r="T40" s="6"/>
      <c r="U40" s="6"/>
      <c r="V40" s="6"/>
      <c r="W40" s="6">
        <f>ROUND(R40*75,2)</f>
        <v>45.54</v>
      </c>
      <c r="X40" s="3"/>
    </row>
    <row r="41" spans="1:24" ht="16.5" thickBot="1" x14ac:dyDescent="0.3">
      <c r="A41" s="3"/>
      <c r="B41" s="3"/>
      <c r="C41" s="2" t="s">
        <v>97</v>
      </c>
      <c r="D41" s="7"/>
      <c r="E41" s="1">
        <f t="shared" si="0"/>
        <v>0</v>
      </c>
      <c r="F41" s="1">
        <f t="shared" si="1"/>
        <v>0.38327894999999995</v>
      </c>
      <c r="G41" s="1">
        <f t="shared" si="2"/>
        <v>1.1143076149999998</v>
      </c>
      <c r="H41" s="1">
        <f t="shared" si="3"/>
        <v>1.3295746499999999</v>
      </c>
      <c r="I41" s="4"/>
      <c r="J41" s="39">
        <f t="shared" si="4"/>
        <v>2538.3200000000002</v>
      </c>
      <c r="K41" s="4"/>
      <c r="L41" s="1">
        <f t="shared" si="5"/>
        <v>0</v>
      </c>
      <c r="M41" s="5"/>
      <c r="N41" s="6">
        <f>(4*1.2*(1.2+1.48)+(1.34*1.34))/3</f>
        <v>4.8865333333333334</v>
      </c>
      <c r="O41" s="6"/>
      <c r="P41" s="6">
        <v>0.08</v>
      </c>
      <c r="Q41" s="3"/>
      <c r="R41" s="6">
        <f>(4*1.2*0.15*(1.2+1.48)/2+(1.01*1.01)*0.15)</f>
        <v>1.1178149999999998</v>
      </c>
      <c r="S41" s="6"/>
      <c r="T41" s="6"/>
      <c r="U41" s="6"/>
      <c r="V41" s="6"/>
      <c r="W41" s="6">
        <f>ROUND(R41*70,2)</f>
        <v>78.25</v>
      </c>
      <c r="X41" s="3"/>
    </row>
    <row r="42" spans="1:24" ht="16.5" thickBot="1" x14ac:dyDescent="0.3">
      <c r="A42" s="3"/>
      <c r="B42" s="3"/>
      <c r="C42" s="2" t="s">
        <v>98</v>
      </c>
      <c r="D42" s="7"/>
      <c r="E42" s="1">
        <f t="shared" si="0"/>
        <v>0</v>
      </c>
      <c r="F42" s="1">
        <f t="shared" si="1"/>
        <v>0.56408220000000009</v>
      </c>
      <c r="G42" s="1">
        <f t="shared" si="2"/>
        <v>1.6356421400000001</v>
      </c>
      <c r="H42" s="1">
        <f t="shared" si="3"/>
        <v>1.9528674000000004</v>
      </c>
      <c r="I42" s="4"/>
      <c r="J42" s="39">
        <f t="shared" si="4"/>
        <v>3699.81</v>
      </c>
      <c r="K42" s="4"/>
      <c r="L42" s="1">
        <f t="shared" si="5"/>
        <v>0</v>
      </c>
      <c r="M42" s="5"/>
      <c r="N42" s="6">
        <f>(4*1.4*(1.4+1.68)+(1.54*1.54))/3</f>
        <v>6.5398666666666658</v>
      </c>
      <c r="O42" s="6"/>
      <c r="P42" s="6">
        <v>0.11</v>
      </c>
      <c r="Q42" s="3"/>
      <c r="R42" s="6">
        <f>(4*1.4*0.15*(1.4+1.68)/2+(1.54*1.54)*0.15)</f>
        <v>1.64934</v>
      </c>
      <c r="S42" s="6"/>
      <c r="T42" s="6"/>
      <c r="U42" s="6"/>
      <c r="V42" s="6"/>
      <c r="W42" s="6">
        <f>ROUND(R42*70,2)</f>
        <v>115.45</v>
      </c>
      <c r="X42" s="3"/>
    </row>
    <row r="43" spans="1:24" ht="16.5" thickBot="1" x14ac:dyDescent="0.3">
      <c r="A43" s="3"/>
      <c r="B43" s="3"/>
      <c r="C43" s="2" t="s">
        <v>99</v>
      </c>
      <c r="D43" s="7"/>
      <c r="E43" s="1">
        <f t="shared" si="0"/>
        <v>0</v>
      </c>
      <c r="F43" s="1">
        <f t="shared" si="1"/>
        <v>0.77929919999999997</v>
      </c>
      <c r="G43" s="1">
        <f t="shared" si="2"/>
        <v>2.26417504</v>
      </c>
      <c r="H43" s="1">
        <f t="shared" si="3"/>
        <v>2.7020064000000001</v>
      </c>
      <c r="I43" s="4"/>
      <c r="J43" s="39">
        <f t="shared" si="4"/>
        <v>5102.8900000000003</v>
      </c>
      <c r="K43" s="4"/>
      <c r="L43" s="1">
        <f t="shared" si="5"/>
        <v>0</v>
      </c>
      <c r="M43" s="5"/>
      <c r="N43" s="6">
        <f>(4*1.6*(1.7+1.98)+(1.84*1.84))/3</f>
        <v>8.9792000000000005</v>
      </c>
      <c r="O43" s="6"/>
      <c r="P43" s="6">
        <v>0.16</v>
      </c>
      <c r="Q43" s="3"/>
      <c r="R43" s="6">
        <f>(4*1.6*0.15*(1.7+1.98)/2+(1.84*1.84)*0.15)</f>
        <v>2.2742399999999998</v>
      </c>
      <c r="S43" s="6"/>
      <c r="T43" s="6"/>
      <c r="U43" s="6"/>
      <c r="V43" s="6"/>
      <c r="W43" s="6">
        <f>ROUND(R43*70,2)</f>
        <v>159.19999999999999</v>
      </c>
      <c r="X43" s="3"/>
    </row>
    <row r="44" spans="1:24" ht="16.5" thickBot="1" x14ac:dyDescent="0.3">
      <c r="A44" s="3"/>
      <c r="B44" s="3"/>
      <c r="C44" s="2" t="s">
        <v>100</v>
      </c>
      <c r="D44" s="7"/>
      <c r="E44" s="1">
        <f t="shared" si="0"/>
        <v>0</v>
      </c>
      <c r="F44" s="1">
        <f t="shared" si="1"/>
        <v>1.2096229499999998</v>
      </c>
      <c r="G44" s="1">
        <f t="shared" si="2"/>
        <v>3.5097804149999998</v>
      </c>
      <c r="H44" s="1">
        <f t="shared" si="3"/>
        <v>4.18982265</v>
      </c>
      <c r="I44" s="4"/>
      <c r="J44" s="39">
        <f t="shared" si="4"/>
        <v>7709.16</v>
      </c>
      <c r="K44" s="4"/>
      <c r="L44" s="1">
        <f t="shared" si="5"/>
        <v>0</v>
      </c>
      <c r="M44" s="5"/>
      <c r="N44" s="6">
        <f>(4*2*(2.1+2.48)+(2.29*2.29))/4</f>
        <v>10.471025000000001</v>
      </c>
      <c r="O44" s="6"/>
      <c r="P44" s="6">
        <v>0.24</v>
      </c>
      <c r="Q44" s="3"/>
      <c r="R44" s="6">
        <f>(4*2*0.15*(2.1+2.48)/2+(2.29*2.29)*0.15)</f>
        <v>3.5346149999999996</v>
      </c>
      <c r="S44" s="6"/>
      <c r="T44" s="6"/>
      <c r="U44" s="6"/>
      <c r="V44" s="6"/>
      <c r="W44" s="6">
        <f>ROUND(R44*70,2)</f>
        <v>247.42</v>
      </c>
      <c r="X44" s="3"/>
    </row>
    <row r="45" spans="1:24" ht="16.5" thickBot="1" x14ac:dyDescent="0.3">
      <c r="A45" s="3"/>
      <c r="B45" s="3"/>
      <c r="C45" s="2" t="s">
        <v>101</v>
      </c>
      <c r="D45" s="7"/>
      <c r="E45" s="1">
        <f t="shared" si="0"/>
        <v>0</v>
      </c>
      <c r="F45" s="1">
        <f t="shared" si="1"/>
        <v>1.9087789500000001</v>
      </c>
      <c r="G45" s="1">
        <f t="shared" si="2"/>
        <v>5.5279776150000002</v>
      </c>
      <c r="H45" s="1">
        <f t="shared" si="3"/>
        <v>6.6020746500000005</v>
      </c>
      <c r="I45" s="4"/>
      <c r="J45" s="39">
        <f t="shared" si="4"/>
        <v>12178.23</v>
      </c>
      <c r="K45" s="4"/>
      <c r="L45" s="1">
        <f t="shared" si="5"/>
        <v>0</v>
      </c>
      <c r="M45" s="5"/>
      <c r="N45" s="6">
        <f>(4*2.5*(2.7+3.08)+(2.89*2.89))/4</f>
        <v>16.538025000000001</v>
      </c>
      <c r="O45" s="6"/>
      <c r="P45" s="6">
        <v>0.36</v>
      </c>
      <c r="Q45" s="3"/>
      <c r="R45" s="6">
        <f>(4*2.5*0.15*(2.7+3.08)/2+(2.89*2.89)*0.15)</f>
        <v>5.587815</v>
      </c>
      <c r="S45" s="6"/>
      <c r="T45" s="6"/>
      <c r="U45" s="6"/>
      <c r="V45" s="6"/>
      <c r="W45" s="6">
        <f>ROUND(R45*70,2)</f>
        <v>391.15</v>
      </c>
      <c r="X45" s="3"/>
    </row>
    <row r="46" spans="1:24" ht="16.5" thickBot="1" x14ac:dyDescent="0.3">
      <c r="A46" s="3"/>
      <c r="B46" s="3"/>
      <c r="C46" s="2" t="s">
        <v>43</v>
      </c>
      <c r="D46" s="7"/>
      <c r="E46" s="1">
        <f t="shared" si="0"/>
        <v>0.54144000000000003</v>
      </c>
      <c r="F46" s="1">
        <f t="shared" si="1"/>
        <v>0.35276220000000008</v>
      </c>
      <c r="G46" s="1">
        <f t="shared" si="2"/>
        <v>1.1888125000000003</v>
      </c>
      <c r="H46" s="1">
        <f t="shared" si="3"/>
        <v>1.1100000000000001</v>
      </c>
      <c r="I46" s="4">
        <v>1</v>
      </c>
      <c r="J46" s="39">
        <f t="shared" si="4"/>
        <v>2203.7800000000002</v>
      </c>
      <c r="K46" s="4">
        <v>1</v>
      </c>
      <c r="L46" s="1">
        <f t="shared" si="5"/>
        <v>1.8048000000000002E-2</v>
      </c>
      <c r="M46" s="5"/>
      <c r="N46" s="6">
        <f>ROUND((4.9+2*0.5)/5,2)</f>
        <v>1.18</v>
      </c>
      <c r="O46" s="6">
        <f>ROUND((1.285*0.5),2)</f>
        <v>0.64</v>
      </c>
      <c r="P46" s="6">
        <v>0.1</v>
      </c>
      <c r="Q46" s="3"/>
      <c r="R46" s="6">
        <f>ROUND((0.8 +0.205 *0.5),2)</f>
        <v>0.9</v>
      </c>
      <c r="S46" s="6"/>
      <c r="T46" s="6">
        <f>ROUND((0.12 *0.5),2)</f>
        <v>0.06</v>
      </c>
      <c r="U46" s="6"/>
      <c r="V46" s="6"/>
      <c r="W46" s="6">
        <f>ROUND((21.07 +8.54 *0.5),2)</f>
        <v>25.34</v>
      </c>
      <c r="X46" s="3"/>
    </row>
    <row r="47" spans="1:24" ht="16.5" thickBot="1" x14ac:dyDescent="0.3">
      <c r="A47" s="3"/>
      <c r="B47" s="3"/>
      <c r="C47" s="2" t="s">
        <v>44</v>
      </c>
      <c r="D47" s="7"/>
      <c r="E47" s="1">
        <f t="shared" si="0"/>
        <v>0.76139999999999997</v>
      </c>
      <c r="F47" s="1">
        <f t="shared" si="1"/>
        <v>0.38489359999999995</v>
      </c>
      <c r="G47" s="1">
        <f t="shared" si="2"/>
        <v>1.3499699999999999</v>
      </c>
      <c r="H47" s="1">
        <f t="shared" si="3"/>
        <v>1.1766000000000001</v>
      </c>
      <c r="I47" s="4">
        <v>1</v>
      </c>
      <c r="J47" s="39">
        <f t="shared" si="4"/>
        <v>2425.58</v>
      </c>
      <c r="K47" s="4">
        <v>1</v>
      </c>
      <c r="L47" s="1">
        <f t="shared" si="5"/>
        <v>2.538E-2</v>
      </c>
      <c r="M47" s="5"/>
      <c r="N47" s="6">
        <f>ROUND((4.9+2*0.7)/5,2)</f>
        <v>1.26</v>
      </c>
      <c r="O47" s="6">
        <f>ROUND((1.285*0.7),2)</f>
        <v>0.9</v>
      </c>
      <c r="P47" s="6">
        <v>0.12</v>
      </c>
      <c r="Q47" s="3"/>
      <c r="R47" s="6">
        <f>ROUND((0.8 +0.205 *0.7),2)</f>
        <v>0.94</v>
      </c>
      <c r="S47" s="6"/>
      <c r="T47" s="6">
        <f>ROUND((0.12 *0.7),2)</f>
        <v>0.08</v>
      </c>
      <c r="U47" s="6"/>
      <c r="V47" s="6"/>
      <c r="W47" s="6">
        <f>ROUND((21.07 +8.54 *0.7),2)</f>
        <v>27.05</v>
      </c>
      <c r="X47" s="3"/>
    </row>
    <row r="48" spans="1:24" ht="16.5" thickBot="1" x14ac:dyDescent="0.3">
      <c r="A48" s="3"/>
      <c r="B48" s="3"/>
      <c r="C48" s="2" t="s">
        <v>45</v>
      </c>
      <c r="D48" s="7"/>
      <c r="E48" s="1">
        <f t="shared" si="0"/>
        <v>1.09134</v>
      </c>
      <c r="F48" s="1">
        <f t="shared" si="1"/>
        <v>0.43281240000000004</v>
      </c>
      <c r="G48" s="1">
        <f t="shared" si="2"/>
        <v>1.5797950000000001</v>
      </c>
      <c r="H48" s="1">
        <f t="shared" si="3"/>
        <v>1.2654000000000003</v>
      </c>
      <c r="I48" s="4">
        <v>1</v>
      </c>
      <c r="J48" s="39">
        <f t="shared" si="4"/>
        <v>2754.73</v>
      </c>
      <c r="K48" s="4">
        <v>1</v>
      </c>
      <c r="L48" s="1">
        <f t="shared" si="5"/>
        <v>3.6378000000000001E-2</v>
      </c>
      <c r="M48" s="5"/>
      <c r="N48" s="6">
        <f>ROUND((4.9+2*1)/5,2)</f>
        <v>1.38</v>
      </c>
      <c r="O48" s="6">
        <f>ROUND((1.285*1),2)</f>
        <v>1.29</v>
      </c>
      <c r="P48" s="6">
        <v>0.13</v>
      </c>
      <c r="Q48" s="3">
        <f>(Q47+Q49)/2</f>
        <v>0</v>
      </c>
      <c r="R48" s="6">
        <f>ROUND((0.8 +0.205 *1),2)</f>
        <v>1.01</v>
      </c>
      <c r="S48" s="6"/>
      <c r="T48" s="6">
        <f>ROUND((0.12 *1),2)</f>
        <v>0.12</v>
      </c>
      <c r="U48" s="6"/>
      <c r="V48" s="6"/>
      <c r="W48" s="6">
        <f>ROUND((21.07 +8.54 *1),2)</f>
        <v>29.61</v>
      </c>
      <c r="X48" s="3"/>
    </row>
    <row r="49" spans="1:24" ht="16.5" thickBot="1" x14ac:dyDescent="0.3">
      <c r="A49" s="3"/>
      <c r="B49" s="3"/>
      <c r="C49" s="2" t="s">
        <v>46</v>
      </c>
      <c r="D49" s="7"/>
      <c r="E49" s="1">
        <f t="shared" si="0"/>
        <v>1.30284</v>
      </c>
      <c r="F49" s="1">
        <f t="shared" si="1"/>
        <v>0.46255580000000002</v>
      </c>
      <c r="G49" s="1">
        <f t="shared" si="2"/>
        <v>1.7263925000000002</v>
      </c>
      <c r="H49" s="1">
        <f t="shared" si="3"/>
        <v>1.3209000000000002</v>
      </c>
      <c r="I49" s="4">
        <v>1</v>
      </c>
      <c r="J49" s="39">
        <f t="shared" si="4"/>
        <v>2966.42</v>
      </c>
      <c r="K49" s="4">
        <v>1</v>
      </c>
      <c r="L49" s="1">
        <f t="shared" si="5"/>
        <v>4.3428000000000001E-2</v>
      </c>
      <c r="M49" s="5"/>
      <c r="N49" s="6">
        <f>ROUND((4.9+2*1.2)/5,2)</f>
        <v>1.46</v>
      </c>
      <c r="O49" s="6">
        <f>ROUND((1.285*1.2),2)</f>
        <v>1.54</v>
      </c>
      <c r="P49" s="6">
        <v>0.14000000000000001</v>
      </c>
      <c r="Q49" s="3"/>
      <c r="R49" s="6">
        <f>ROUND((0.8 +0.205 *1.2),2)</f>
        <v>1.05</v>
      </c>
      <c r="S49" s="6"/>
      <c r="T49" s="6">
        <f>ROUND((0.12 *1.2),2)</f>
        <v>0.14000000000000001</v>
      </c>
      <c r="U49" s="6"/>
      <c r="V49" s="6"/>
      <c r="W49" s="6">
        <f>ROUND((21.07 +8.54 *1.2),2)</f>
        <v>31.32</v>
      </c>
      <c r="X49" s="3"/>
    </row>
    <row r="50" spans="1:24" ht="16.5" thickBot="1" x14ac:dyDescent="0.3">
      <c r="A50" s="3"/>
      <c r="B50" s="3"/>
      <c r="C50" s="2" t="s">
        <v>47</v>
      </c>
      <c r="D50" s="7"/>
      <c r="E50" s="1">
        <f t="shared" si="0"/>
        <v>1.6327799999999999</v>
      </c>
      <c r="F50" s="1">
        <f t="shared" si="1"/>
        <v>0.50537460000000012</v>
      </c>
      <c r="G50" s="1">
        <f t="shared" si="2"/>
        <v>1.9364075000000001</v>
      </c>
      <c r="H50" s="1">
        <f t="shared" si="3"/>
        <v>1.3875000000000002</v>
      </c>
      <c r="I50" s="4">
        <v>1</v>
      </c>
      <c r="J50" s="39">
        <f t="shared" si="4"/>
        <v>3286.28</v>
      </c>
      <c r="K50" s="4">
        <v>1</v>
      </c>
      <c r="L50" s="1">
        <f t="shared" si="5"/>
        <v>5.4425999999999995E-2</v>
      </c>
      <c r="M50" s="5"/>
      <c r="N50" s="6">
        <f>ROUND((4.9+2*1.5)/5,2)</f>
        <v>1.58</v>
      </c>
      <c r="O50" s="6">
        <f>ROUND((1.285*1.5),2)</f>
        <v>1.93</v>
      </c>
      <c r="P50" s="6">
        <v>0.14000000000000001</v>
      </c>
      <c r="Q50" s="3"/>
      <c r="R50" s="6">
        <f>ROUND((0.8 +0.205 *1.5),2)</f>
        <v>1.1100000000000001</v>
      </c>
      <c r="S50" s="6"/>
      <c r="T50" s="6">
        <f>ROUND((0.12 *1.5),2)</f>
        <v>0.18</v>
      </c>
      <c r="U50" s="6"/>
      <c r="V50" s="6"/>
      <c r="W50" s="6">
        <f>ROUND((21.07 +8.54 *1.5),2)</f>
        <v>33.880000000000003</v>
      </c>
      <c r="X50" s="3"/>
    </row>
    <row r="51" spans="1:24" ht="16.5" thickBot="1" x14ac:dyDescent="0.3">
      <c r="A51" s="3"/>
      <c r="B51" s="3"/>
      <c r="C51" s="2" t="s">
        <v>48</v>
      </c>
      <c r="D51" s="7"/>
      <c r="E51" s="1">
        <f t="shared" si="0"/>
        <v>0</v>
      </c>
      <c r="F51" s="1">
        <f t="shared" si="1"/>
        <v>0.38250000000000006</v>
      </c>
      <c r="G51" s="1">
        <f t="shared" si="2"/>
        <v>1.1483800000000002</v>
      </c>
      <c r="H51" s="1">
        <f t="shared" si="3"/>
        <v>1.35975</v>
      </c>
      <c r="I51" s="4">
        <v>1</v>
      </c>
      <c r="J51" s="39">
        <f t="shared" si="4"/>
        <v>1401.9</v>
      </c>
      <c r="K51" s="4">
        <v>1</v>
      </c>
      <c r="L51" s="1">
        <f t="shared" si="5"/>
        <v>0</v>
      </c>
      <c r="M51" s="5"/>
      <c r="N51" s="6">
        <f>N56/2</f>
        <v>1.075</v>
      </c>
      <c r="O51" s="6"/>
      <c r="P51" s="6">
        <f>P56</f>
        <v>0.14499999999999999</v>
      </c>
      <c r="Q51" s="3"/>
      <c r="R51" s="6">
        <f>R56</f>
        <v>1.08</v>
      </c>
      <c r="S51" s="6"/>
      <c r="T51" s="6"/>
      <c r="U51" s="6"/>
      <c r="V51" s="6"/>
      <c r="W51" s="6"/>
      <c r="X51" s="3"/>
    </row>
    <row r="52" spans="1:24" ht="16.5" thickBot="1" x14ac:dyDescent="0.3">
      <c r="A52" s="3"/>
      <c r="B52" s="3"/>
      <c r="C52" s="2" t="s">
        <v>49</v>
      </c>
      <c r="D52" s="7"/>
      <c r="E52" s="1">
        <f t="shared" si="0"/>
        <v>0</v>
      </c>
      <c r="F52" s="1">
        <f t="shared" si="1"/>
        <v>0.43200000000000005</v>
      </c>
      <c r="G52" s="1">
        <f t="shared" si="2"/>
        <v>1.28653</v>
      </c>
      <c r="H52" s="1">
        <f t="shared" si="3"/>
        <v>1.5262500000000001</v>
      </c>
      <c r="I52" s="4">
        <v>1</v>
      </c>
      <c r="J52" s="39">
        <f t="shared" si="4"/>
        <v>1493.02</v>
      </c>
      <c r="K52" s="4">
        <v>1</v>
      </c>
      <c r="L52" s="1">
        <f t="shared" si="5"/>
        <v>0</v>
      </c>
      <c r="M52" s="5"/>
      <c r="N52" s="6">
        <f>N57/2</f>
        <v>1.325</v>
      </c>
      <c r="O52" s="6"/>
      <c r="P52" s="6">
        <f>P57</f>
        <v>0.14499999999999999</v>
      </c>
      <c r="Q52" s="3"/>
      <c r="R52" s="6">
        <f>R57</f>
        <v>1.23</v>
      </c>
      <c r="S52" s="6"/>
      <c r="T52" s="6"/>
      <c r="U52" s="6"/>
      <c r="V52" s="6"/>
      <c r="W52" s="6"/>
      <c r="X52" s="3"/>
    </row>
    <row r="53" spans="1:24" ht="16.5" thickBot="1" x14ac:dyDescent="0.3">
      <c r="A53" s="3"/>
      <c r="B53" s="3"/>
      <c r="C53" s="2" t="s">
        <v>50</v>
      </c>
      <c r="D53" s="7"/>
      <c r="E53" s="1">
        <f t="shared" si="0"/>
        <v>0</v>
      </c>
      <c r="F53" s="1">
        <f t="shared" si="1"/>
        <v>0.50459999999999994</v>
      </c>
      <c r="G53" s="1">
        <f t="shared" si="2"/>
        <v>1.48915</v>
      </c>
      <c r="H53" s="1">
        <f t="shared" si="3"/>
        <v>1.7704500000000001</v>
      </c>
      <c r="I53" s="4">
        <v>1</v>
      </c>
      <c r="J53" s="39">
        <f t="shared" si="4"/>
        <v>1627.18</v>
      </c>
      <c r="K53" s="4">
        <v>1</v>
      </c>
      <c r="L53" s="1">
        <f t="shared" si="5"/>
        <v>0</v>
      </c>
      <c r="M53" s="5"/>
      <c r="N53" s="6">
        <f>N58/2</f>
        <v>1.7</v>
      </c>
      <c r="O53" s="6">
        <f>(O52+O54)/2</f>
        <v>0</v>
      </c>
      <c r="P53" s="6">
        <f>P58</f>
        <v>0.14499999999999999</v>
      </c>
      <c r="Q53" s="3">
        <f>(Q52+Q54)/2</f>
        <v>0</v>
      </c>
      <c r="R53" s="6">
        <f>R58</f>
        <v>1.45</v>
      </c>
      <c r="S53" s="6"/>
      <c r="T53" s="6">
        <f>(T52+T54)/2</f>
        <v>0</v>
      </c>
      <c r="U53" s="6"/>
      <c r="V53" s="6"/>
      <c r="W53" s="6"/>
      <c r="X53" s="3"/>
    </row>
    <row r="54" spans="1:24" ht="16.5" thickBot="1" x14ac:dyDescent="0.3">
      <c r="A54" s="3"/>
      <c r="B54" s="3"/>
      <c r="C54" s="2" t="s">
        <v>51</v>
      </c>
      <c r="D54" s="7"/>
      <c r="E54" s="1">
        <f t="shared" si="0"/>
        <v>0</v>
      </c>
      <c r="F54" s="1">
        <f t="shared" si="1"/>
        <v>0.6411</v>
      </c>
      <c r="G54" s="1">
        <f t="shared" si="2"/>
        <v>1.8840500000000002</v>
      </c>
      <c r="H54" s="1">
        <f t="shared" si="3"/>
        <v>2.2422</v>
      </c>
      <c r="I54" s="4">
        <v>1</v>
      </c>
      <c r="J54" s="39">
        <f t="shared" si="4"/>
        <v>1851.62</v>
      </c>
      <c r="K54" s="4">
        <v>1</v>
      </c>
      <c r="L54" s="1">
        <f t="shared" si="5"/>
        <v>0</v>
      </c>
      <c r="M54" s="5"/>
      <c r="N54" s="6">
        <f>N59/2</f>
        <v>1.9</v>
      </c>
      <c r="O54" s="6"/>
      <c r="P54" s="6">
        <f>P59</f>
        <v>0.17</v>
      </c>
      <c r="Q54" s="3"/>
      <c r="R54" s="6">
        <f>R59</f>
        <v>1.85</v>
      </c>
      <c r="S54" s="6"/>
      <c r="T54" s="6"/>
      <c r="U54" s="6"/>
      <c r="V54" s="6"/>
      <c r="W54" s="6"/>
      <c r="X54" s="3"/>
    </row>
    <row r="55" spans="1:24" ht="16.5" thickBot="1" x14ac:dyDescent="0.3">
      <c r="A55" s="3"/>
      <c r="B55" s="3"/>
      <c r="C55" s="2" t="s">
        <v>52</v>
      </c>
      <c r="D55" s="7"/>
      <c r="E55" s="1">
        <f t="shared" si="0"/>
        <v>0</v>
      </c>
      <c r="F55" s="1">
        <f t="shared" si="1"/>
        <v>0.80657999999999996</v>
      </c>
      <c r="G55" s="1">
        <f t="shared" si="2"/>
        <v>2.3575999999999997</v>
      </c>
      <c r="H55" s="1">
        <f t="shared" si="3"/>
        <v>2.8094099999999997</v>
      </c>
      <c r="I55" s="4">
        <v>1</v>
      </c>
      <c r="J55" s="39">
        <f t="shared" si="4"/>
        <v>2119.0300000000002</v>
      </c>
      <c r="K55" s="4">
        <v>1</v>
      </c>
      <c r="L55" s="1">
        <f t="shared" si="5"/>
        <v>0</v>
      </c>
      <c r="M55" s="5"/>
      <c r="N55" s="6">
        <f>N60/2</f>
        <v>2.09</v>
      </c>
      <c r="O55" s="6"/>
      <c r="P55" s="6">
        <f>P60</f>
        <v>0.191</v>
      </c>
      <c r="Q55" s="3"/>
      <c r="R55" s="6">
        <f>R60</f>
        <v>2.34</v>
      </c>
      <c r="S55" s="6"/>
      <c r="T55" s="6"/>
      <c r="U55" s="6"/>
      <c r="V55" s="6"/>
      <c r="W55" s="6"/>
      <c r="X55" s="3"/>
    </row>
    <row r="56" spans="1:24" ht="16.5" thickBot="1" x14ac:dyDescent="0.3">
      <c r="A56" s="3"/>
      <c r="B56" s="3"/>
      <c r="C56" s="2" t="s">
        <v>53</v>
      </c>
      <c r="D56" s="7"/>
      <c r="E56" s="1">
        <f t="shared" si="0"/>
        <v>0</v>
      </c>
      <c r="F56" s="1">
        <f t="shared" si="1"/>
        <v>0.38250000000000006</v>
      </c>
      <c r="G56" s="1">
        <f t="shared" si="2"/>
        <v>1.1483800000000002</v>
      </c>
      <c r="H56" s="1">
        <f t="shared" si="3"/>
        <v>1.35975</v>
      </c>
      <c r="I56" s="4">
        <v>1</v>
      </c>
      <c r="J56" s="39">
        <f t="shared" si="4"/>
        <v>3215.9</v>
      </c>
      <c r="K56" s="4">
        <v>1</v>
      </c>
      <c r="L56" s="1">
        <f t="shared" si="5"/>
        <v>0</v>
      </c>
      <c r="M56" s="5"/>
      <c r="N56" s="6">
        <f>ROUND((3.59+10*0.5)/4,2)</f>
        <v>2.15</v>
      </c>
      <c r="O56" s="6"/>
      <c r="P56" s="6">
        <v>0.14499999999999999</v>
      </c>
      <c r="Q56" s="3"/>
      <c r="R56" s="6">
        <f>ROUND((0.704 +0.75 *0.5),2)</f>
        <v>1.08</v>
      </c>
      <c r="S56" s="6"/>
      <c r="T56" s="6"/>
      <c r="U56" s="6"/>
      <c r="V56" s="6"/>
      <c r="W56" s="6">
        <f t="shared" ref="W56:W62" si="10">R56*77.35</f>
        <v>83.537999999999997</v>
      </c>
      <c r="X56" s="3"/>
    </row>
    <row r="57" spans="1:24" ht="16.5" thickBot="1" x14ac:dyDescent="0.3">
      <c r="A57" s="3"/>
      <c r="B57" s="3"/>
      <c r="C57" s="2" t="s">
        <v>54</v>
      </c>
      <c r="D57" s="7"/>
      <c r="E57" s="1">
        <f t="shared" si="0"/>
        <v>0</v>
      </c>
      <c r="F57" s="1">
        <f t="shared" si="1"/>
        <v>0.43200000000000005</v>
      </c>
      <c r="G57" s="1">
        <f t="shared" si="2"/>
        <v>1.28653</v>
      </c>
      <c r="H57" s="1">
        <f t="shared" si="3"/>
        <v>1.5262500000000001</v>
      </c>
      <c r="I57" s="4">
        <v>1</v>
      </c>
      <c r="J57" s="39">
        <f t="shared" si="4"/>
        <v>3565.26</v>
      </c>
      <c r="K57" s="4">
        <v>1</v>
      </c>
      <c r="L57" s="1">
        <f t="shared" si="5"/>
        <v>0</v>
      </c>
      <c r="M57" s="5"/>
      <c r="N57" s="6">
        <f>ROUND((3.59+10*0.7)/4,2)</f>
        <v>2.65</v>
      </c>
      <c r="O57" s="6"/>
      <c r="P57" s="6">
        <v>0.14499999999999999</v>
      </c>
      <c r="Q57" s="3"/>
      <c r="R57" s="6">
        <f>ROUND((0.704 +0.75 *0.7),2)</f>
        <v>1.23</v>
      </c>
      <c r="S57" s="6"/>
      <c r="T57" s="6"/>
      <c r="U57" s="6"/>
      <c r="V57" s="6"/>
      <c r="W57" s="6">
        <f t="shared" si="10"/>
        <v>95.140499999999989</v>
      </c>
      <c r="X57" s="3"/>
    </row>
    <row r="58" spans="1:24" ht="16.5" thickBot="1" x14ac:dyDescent="0.3">
      <c r="A58" s="3"/>
      <c r="B58" s="3"/>
      <c r="C58" s="2" t="s">
        <v>55</v>
      </c>
      <c r="D58" s="7"/>
      <c r="E58" s="1">
        <f t="shared" si="0"/>
        <v>0</v>
      </c>
      <c r="F58" s="1">
        <f t="shared" si="1"/>
        <v>0.50459999999999994</v>
      </c>
      <c r="G58" s="1">
        <f t="shared" si="2"/>
        <v>1.48915</v>
      </c>
      <c r="H58" s="1">
        <f t="shared" si="3"/>
        <v>1.7704500000000001</v>
      </c>
      <c r="I58" s="4">
        <v>1</v>
      </c>
      <c r="J58" s="39">
        <f t="shared" si="4"/>
        <v>4078.7</v>
      </c>
      <c r="K58" s="4">
        <v>1</v>
      </c>
      <c r="L58" s="1">
        <f t="shared" si="5"/>
        <v>0</v>
      </c>
      <c r="M58" s="5"/>
      <c r="N58" s="6">
        <f>ROUND((3.59+10*1)/4,2)</f>
        <v>3.4</v>
      </c>
      <c r="O58" s="6">
        <f>(O57+O59)/2</f>
        <v>0</v>
      </c>
      <c r="P58" s="6">
        <v>0.14499999999999999</v>
      </c>
      <c r="Q58" s="3">
        <f>(Q57+Q59)/2</f>
        <v>0</v>
      </c>
      <c r="R58" s="6">
        <f>ROUND((0.704 +0.75 *1),2)</f>
        <v>1.45</v>
      </c>
      <c r="S58" s="6"/>
      <c r="T58" s="6"/>
      <c r="U58" s="6"/>
      <c r="V58" s="6"/>
      <c r="W58" s="6">
        <f t="shared" si="10"/>
        <v>112.15749999999998</v>
      </c>
      <c r="X58" s="3"/>
    </row>
    <row r="59" spans="1:24" ht="16.5" thickBot="1" x14ac:dyDescent="0.3">
      <c r="A59" s="3"/>
      <c r="B59" s="3"/>
      <c r="C59" s="2" t="s">
        <v>56</v>
      </c>
      <c r="D59" s="7"/>
      <c r="E59" s="1">
        <f t="shared" si="0"/>
        <v>0</v>
      </c>
      <c r="F59" s="1">
        <f t="shared" si="1"/>
        <v>0.6411</v>
      </c>
      <c r="G59" s="1">
        <f t="shared" si="2"/>
        <v>1.8840500000000002</v>
      </c>
      <c r="H59" s="1">
        <f t="shared" si="3"/>
        <v>2.2422</v>
      </c>
      <c r="I59" s="4">
        <v>1</v>
      </c>
      <c r="J59" s="39">
        <f t="shared" si="4"/>
        <v>4962.6000000000004</v>
      </c>
      <c r="K59" s="4">
        <v>1</v>
      </c>
      <c r="L59" s="1">
        <f t="shared" si="5"/>
        <v>0</v>
      </c>
      <c r="M59" s="5"/>
      <c r="N59" s="6">
        <f>ROUND((4+11.2*1)/4,2)</f>
        <v>3.8</v>
      </c>
      <c r="O59" s="6"/>
      <c r="P59" s="6">
        <v>0.17</v>
      </c>
      <c r="Q59" s="3"/>
      <c r="R59" s="6">
        <f>ROUND((0.843 +0.84*1.2),2)</f>
        <v>1.85</v>
      </c>
      <c r="S59" s="6"/>
      <c r="T59" s="6"/>
      <c r="U59" s="6"/>
      <c r="V59" s="6"/>
      <c r="W59" s="6">
        <f t="shared" si="10"/>
        <v>143.0975</v>
      </c>
      <c r="X59" s="3"/>
    </row>
    <row r="60" spans="1:24" ht="16.5" thickBot="1" x14ac:dyDescent="0.3">
      <c r="A60" s="3"/>
      <c r="B60" s="3"/>
      <c r="C60" s="2" t="s">
        <v>57</v>
      </c>
      <c r="D60" s="7"/>
      <c r="E60" s="1">
        <f t="shared" si="0"/>
        <v>0</v>
      </c>
      <c r="F60" s="1">
        <f t="shared" si="1"/>
        <v>0.80657999999999996</v>
      </c>
      <c r="G60" s="1">
        <f t="shared" si="2"/>
        <v>2.3575999999999997</v>
      </c>
      <c r="H60" s="1">
        <f t="shared" si="3"/>
        <v>2.8094099999999997</v>
      </c>
      <c r="I60" s="4">
        <v>1</v>
      </c>
      <c r="J60" s="39">
        <f t="shared" si="4"/>
        <v>6034.4</v>
      </c>
      <c r="K60" s="4">
        <v>1</v>
      </c>
      <c r="L60" s="1">
        <f t="shared" si="5"/>
        <v>0</v>
      </c>
      <c r="M60" s="5"/>
      <c r="N60" s="6">
        <f>ROUND((4.53+12.2*1)/4,2)</f>
        <v>4.18</v>
      </c>
      <c r="O60" s="6"/>
      <c r="P60" s="6">
        <v>0.191</v>
      </c>
      <c r="Q60" s="3"/>
      <c r="R60" s="6">
        <f>ROUND((0.968 +0.915 *1.5),2)</f>
        <v>2.34</v>
      </c>
      <c r="S60" s="6"/>
      <c r="T60" s="6"/>
      <c r="U60" s="6"/>
      <c r="V60" s="6"/>
      <c r="W60" s="6">
        <f t="shared" si="10"/>
        <v>180.99899999999997</v>
      </c>
      <c r="X60" s="3"/>
    </row>
    <row r="61" spans="1:24" ht="16.5" thickBot="1" x14ac:dyDescent="0.3">
      <c r="A61" s="3"/>
      <c r="B61" s="3"/>
      <c r="C61" s="2" t="s">
        <v>58</v>
      </c>
      <c r="D61" s="7"/>
      <c r="E61" s="1">
        <f t="shared" si="0"/>
        <v>0</v>
      </c>
      <c r="F61" s="1">
        <f t="shared" si="1"/>
        <v>0.89753699999999992</v>
      </c>
      <c r="G61" s="1">
        <f t="shared" si="2"/>
        <v>2.6274289999999998</v>
      </c>
      <c r="H61" s="1">
        <f t="shared" si="3"/>
        <v>3.1298114999999997</v>
      </c>
      <c r="I61" s="4">
        <v>1</v>
      </c>
      <c r="J61" s="39">
        <f t="shared" si="4"/>
        <v>6626.99</v>
      </c>
      <c r="K61" s="4">
        <v>1</v>
      </c>
      <c r="L61" s="1">
        <f t="shared" si="5"/>
        <v>0</v>
      </c>
      <c r="M61" s="5"/>
      <c r="N61" s="6">
        <f>N60/1.8*2</f>
        <v>4.6444444444444439</v>
      </c>
      <c r="O61" s="6"/>
      <c r="P61" s="6">
        <f>P60*1.15</f>
        <v>0.21964999999999998</v>
      </c>
      <c r="Q61" s="3"/>
      <c r="R61" s="6">
        <f>R60/1.8*2</f>
        <v>2.5999999999999996</v>
      </c>
      <c r="S61" s="6"/>
      <c r="T61" s="6"/>
      <c r="U61" s="6"/>
      <c r="V61" s="6"/>
      <c r="W61" s="6">
        <f t="shared" si="10"/>
        <v>201.10999999999996</v>
      </c>
      <c r="X61" s="3"/>
    </row>
    <row r="62" spans="1:24" ht="16.5" thickBot="1" x14ac:dyDescent="0.3">
      <c r="A62" s="3"/>
      <c r="B62" s="3"/>
      <c r="C62" s="2" t="s">
        <v>59</v>
      </c>
      <c r="D62" s="7"/>
      <c r="E62" s="1">
        <f t="shared" si="0"/>
        <v>0</v>
      </c>
      <c r="F62" s="1">
        <f t="shared" si="1"/>
        <v>1.1179675499999999</v>
      </c>
      <c r="G62" s="1">
        <f t="shared" si="2"/>
        <v>3.2610033499999997</v>
      </c>
      <c r="H62" s="1">
        <f t="shared" si="3"/>
        <v>3.8878832249999999</v>
      </c>
      <c r="I62" s="4">
        <v>1</v>
      </c>
      <c r="J62" s="39">
        <f t="shared" si="4"/>
        <v>8092.02</v>
      </c>
      <c r="K62" s="4">
        <v>1</v>
      </c>
      <c r="L62" s="1">
        <f t="shared" si="5"/>
        <v>0</v>
      </c>
      <c r="M62" s="5"/>
      <c r="N62" s="6">
        <f>N61/2*2.5</f>
        <v>5.8055555555555554</v>
      </c>
      <c r="O62" s="6"/>
      <c r="P62" s="6">
        <f>P61*1.15</f>
        <v>0.25259749999999997</v>
      </c>
      <c r="Q62" s="3"/>
      <c r="R62" s="6">
        <f>R61/2*2.5</f>
        <v>3.2499999999999996</v>
      </c>
      <c r="S62" s="6"/>
      <c r="T62" s="6"/>
      <c r="U62" s="6"/>
      <c r="V62" s="6"/>
      <c r="W62" s="6">
        <f t="shared" si="10"/>
        <v>251.38749999999996</v>
      </c>
      <c r="X62" s="3"/>
    </row>
    <row r="63" spans="1:24" ht="16.5" thickBot="1" x14ac:dyDescent="0.3">
      <c r="A63" s="3"/>
      <c r="B63" s="3"/>
      <c r="C63" s="2" t="s">
        <v>102</v>
      </c>
      <c r="D63" s="7"/>
      <c r="E63" s="1">
        <f t="shared" si="0"/>
        <v>0</v>
      </c>
      <c r="F63" s="1">
        <f t="shared" si="1"/>
        <v>0.11253000000000002</v>
      </c>
      <c r="G63" s="1">
        <f t="shared" si="2"/>
        <v>0.31406100000000003</v>
      </c>
      <c r="H63" s="1">
        <f t="shared" si="3"/>
        <v>0.37851000000000007</v>
      </c>
      <c r="I63" s="4"/>
      <c r="J63" s="39">
        <f t="shared" si="4"/>
        <v>749.96</v>
      </c>
      <c r="K63" s="4"/>
      <c r="L63" s="1">
        <f t="shared" si="5"/>
        <v>0</v>
      </c>
      <c r="M63" s="5"/>
      <c r="N63" s="6">
        <f>2+1.56+0.72</f>
        <v>4.28</v>
      </c>
      <c r="O63" s="6"/>
      <c r="P63" s="6"/>
      <c r="Q63" s="3"/>
      <c r="R63" s="6">
        <f>0.1+0.16+0.081</f>
        <v>0.34100000000000003</v>
      </c>
      <c r="S63" s="6"/>
      <c r="T63" s="6"/>
      <c r="U63" s="6"/>
      <c r="V63" s="6"/>
      <c r="W63" s="6">
        <f>1.32+4.11+4.74+1.69+3</f>
        <v>14.860000000000001</v>
      </c>
      <c r="X63" s="3"/>
    </row>
    <row r="64" spans="1:24" ht="16.5" thickBot="1" x14ac:dyDescent="0.3">
      <c r="A64" s="3"/>
      <c r="B64" s="3"/>
      <c r="C64" s="2" t="s">
        <v>103</v>
      </c>
      <c r="D64" s="7"/>
      <c r="E64" s="1">
        <f t="shared" si="0"/>
        <v>0</v>
      </c>
      <c r="F64" s="1">
        <f t="shared" si="1"/>
        <v>0.12243000000000002</v>
      </c>
      <c r="G64" s="1">
        <f t="shared" si="2"/>
        <v>0.34169100000000008</v>
      </c>
      <c r="H64" s="1">
        <f t="shared" si="3"/>
        <v>0.41181000000000012</v>
      </c>
      <c r="I64" s="4"/>
      <c r="J64" s="39">
        <f t="shared" si="4"/>
        <v>850.96</v>
      </c>
      <c r="K64" s="4"/>
      <c r="L64" s="1">
        <f t="shared" si="5"/>
        <v>0</v>
      </c>
      <c r="M64" s="5"/>
      <c r="N64" s="6">
        <f>2+1.76+0.72</f>
        <v>4.4799999999999995</v>
      </c>
      <c r="O64" s="6"/>
      <c r="P64" s="6"/>
      <c r="Q64" s="3"/>
      <c r="R64" s="6">
        <f>0.1+0.19+0.081</f>
        <v>0.37100000000000005</v>
      </c>
      <c r="S64" s="6"/>
      <c r="T64" s="6"/>
      <c r="U64" s="6"/>
      <c r="V64" s="6"/>
      <c r="W64" s="6">
        <f>1.32+4.11+7.42+2.52+3</f>
        <v>18.37</v>
      </c>
      <c r="X64" s="3"/>
    </row>
    <row r="65" spans="1:24" ht="16.5" thickBot="1" x14ac:dyDescent="0.3">
      <c r="A65" s="3"/>
      <c r="B65" s="3"/>
      <c r="C65" s="2" t="s">
        <v>104</v>
      </c>
      <c r="D65" s="7"/>
      <c r="E65" s="1">
        <f t="shared" si="0"/>
        <v>0</v>
      </c>
      <c r="F65" s="1">
        <f t="shared" si="1"/>
        <v>0.13233</v>
      </c>
      <c r="G65" s="1">
        <f t="shared" si="2"/>
        <v>0.36932100000000001</v>
      </c>
      <c r="H65" s="1">
        <f t="shared" si="3"/>
        <v>0.44511000000000006</v>
      </c>
      <c r="I65" s="4"/>
      <c r="J65" s="39">
        <f t="shared" si="4"/>
        <v>971.4</v>
      </c>
      <c r="K65" s="4"/>
      <c r="L65" s="1">
        <f t="shared" si="5"/>
        <v>0</v>
      </c>
      <c r="M65" s="5"/>
      <c r="N65" s="6">
        <f>2+1.96+0.72</f>
        <v>4.68</v>
      </c>
      <c r="O65" s="6"/>
      <c r="P65" s="6"/>
      <c r="Q65" s="3"/>
      <c r="R65" s="6">
        <f>0.1+0.22+0.081</f>
        <v>0.40100000000000002</v>
      </c>
      <c r="S65" s="6"/>
      <c r="T65" s="6"/>
      <c r="U65" s="6"/>
      <c r="V65" s="6"/>
      <c r="W65" s="6">
        <f>1.32+4.11+10.23+3.15+4</f>
        <v>22.81</v>
      </c>
      <c r="X65" s="3"/>
    </row>
    <row r="66" spans="1:24" ht="16.5" thickBot="1" x14ac:dyDescent="0.3">
      <c r="A66" s="3"/>
      <c r="B66" s="3"/>
      <c r="C66" s="2" t="s">
        <v>105</v>
      </c>
      <c r="D66" s="7"/>
      <c r="E66" s="1">
        <f t="shared" si="0"/>
        <v>0</v>
      </c>
      <c r="F66" s="1">
        <f t="shared" si="1"/>
        <v>0.38417000000000001</v>
      </c>
      <c r="G66" s="1">
        <f t="shared" si="2"/>
        <v>1.55436</v>
      </c>
      <c r="H66" s="1">
        <f t="shared" si="3"/>
        <v>2.9078100000000004</v>
      </c>
      <c r="I66" s="4"/>
      <c r="J66" s="39">
        <f t="shared" si="4"/>
        <v>968.15</v>
      </c>
      <c r="K66" s="4"/>
      <c r="L66" s="1">
        <f t="shared" si="5"/>
        <v>0</v>
      </c>
      <c r="M66" s="5">
        <v>1.22</v>
      </c>
      <c r="N66" s="6">
        <f>7.413/3</f>
        <v>2.4710000000000001</v>
      </c>
      <c r="O66" s="6"/>
      <c r="P66" s="6"/>
      <c r="Q66" s="3">
        <v>0.97099999999999997</v>
      </c>
      <c r="R66" s="6"/>
      <c r="S66" s="6"/>
      <c r="T66" s="6"/>
      <c r="U66" s="6"/>
      <c r="V66" s="6"/>
      <c r="W66" s="6"/>
      <c r="X66" s="3"/>
    </row>
    <row r="67" spans="1:24" ht="16.5" thickBot="1" x14ac:dyDescent="0.3">
      <c r="A67" s="3"/>
      <c r="B67" s="3"/>
      <c r="C67" s="2" t="s">
        <v>106</v>
      </c>
      <c r="D67" s="7"/>
      <c r="E67" s="1">
        <f t="shared" si="0"/>
        <v>0</v>
      </c>
      <c r="F67" s="1">
        <f t="shared" si="1"/>
        <v>0.47295000000000004</v>
      </c>
      <c r="G67" s="1">
        <f t="shared" si="2"/>
        <v>1.9178999999999999</v>
      </c>
      <c r="H67" s="1">
        <f t="shared" si="3"/>
        <v>3.6103500000000004</v>
      </c>
      <c r="I67" s="4"/>
      <c r="J67" s="39">
        <f t="shared" si="4"/>
        <v>1174.8399999999999</v>
      </c>
      <c r="K67" s="4"/>
      <c r="L67" s="1">
        <f t="shared" si="5"/>
        <v>0</v>
      </c>
      <c r="M67" s="5">
        <v>1.53</v>
      </c>
      <c r="N67" s="6">
        <f>8.15/3</f>
        <v>2.7166666666666668</v>
      </c>
      <c r="O67" s="6"/>
      <c r="P67" s="6"/>
      <c r="Q67" s="3">
        <v>1.1850000000000001</v>
      </c>
      <c r="R67" s="6"/>
      <c r="S67" s="6"/>
      <c r="T67" s="6"/>
      <c r="U67" s="6"/>
      <c r="V67" s="6"/>
      <c r="W67" s="6"/>
      <c r="X67" s="3"/>
    </row>
    <row r="68" spans="1:24" ht="16.5" thickBot="1" x14ac:dyDescent="0.3">
      <c r="A68" s="3"/>
      <c r="B68" s="3"/>
      <c r="C68" s="2" t="s">
        <v>107</v>
      </c>
      <c r="D68" s="7"/>
      <c r="E68" s="1">
        <f t="shared" si="0"/>
        <v>0</v>
      </c>
      <c r="F68" s="1">
        <f t="shared" si="1"/>
        <v>0.75196000000000007</v>
      </c>
      <c r="G68" s="1">
        <f t="shared" si="2"/>
        <v>3.0643799999999999</v>
      </c>
      <c r="H68" s="1">
        <f t="shared" si="3"/>
        <v>5.8462800000000001</v>
      </c>
      <c r="I68" s="4"/>
      <c r="J68" s="39">
        <f t="shared" si="4"/>
        <v>1839.37</v>
      </c>
      <c r="K68" s="4"/>
      <c r="L68" s="1">
        <f t="shared" si="5"/>
        <v>0</v>
      </c>
      <c r="M68" s="5">
        <v>2.5299999999999998</v>
      </c>
      <c r="N68" s="6">
        <f>11.04/3</f>
        <v>3.6799999999999997</v>
      </c>
      <c r="O68" s="6"/>
      <c r="P68" s="6"/>
      <c r="Q68" s="3">
        <v>1.8480000000000001</v>
      </c>
      <c r="R68" s="6"/>
      <c r="S68" s="6"/>
      <c r="T68" s="6"/>
      <c r="U68" s="6"/>
      <c r="V68" s="6"/>
      <c r="W68" s="6"/>
      <c r="X68" s="3"/>
    </row>
    <row r="69" spans="1:24" ht="16.5" thickBot="1" x14ac:dyDescent="0.3">
      <c r="A69" s="3"/>
      <c r="B69" s="3"/>
      <c r="C69" s="2" t="s">
        <v>60</v>
      </c>
      <c r="D69" s="7"/>
      <c r="E69" s="1">
        <f t="shared" si="0"/>
        <v>0</v>
      </c>
      <c r="F69" s="1">
        <f t="shared" si="1"/>
        <v>1.08901</v>
      </c>
      <c r="G69" s="1">
        <f t="shared" si="2"/>
        <v>4.4434800000000001</v>
      </c>
      <c r="H69" s="1">
        <f t="shared" si="3"/>
        <v>8.5059300000000011</v>
      </c>
      <c r="I69" s="4"/>
      <c r="J69" s="39">
        <f t="shared" si="4"/>
        <v>2627.65</v>
      </c>
      <c r="K69" s="4"/>
      <c r="L69" s="1">
        <f t="shared" si="5"/>
        <v>0</v>
      </c>
      <c r="M69" s="5">
        <v>3.7</v>
      </c>
      <c r="N69" s="6">
        <f>14.05/3</f>
        <v>4.6833333333333336</v>
      </c>
      <c r="O69" s="6"/>
      <c r="P69" s="6"/>
      <c r="Q69" s="3">
        <v>2.6629999999999998</v>
      </c>
      <c r="R69" s="6"/>
      <c r="S69" s="6"/>
      <c r="T69" s="6"/>
      <c r="U69" s="6"/>
      <c r="V69" s="6"/>
      <c r="W69" s="6"/>
      <c r="X69" s="3"/>
    </row>
    <row r="70" spans="1:24" ht="16.5" thickBot="1" x14ac:dyDescent="0.3">
      <c r="A70" s="3"/>
      <c r="B70" s="3"/>
      <c r="C70" s="2" t="s">
        <v>61</v>
      </c>
      <c r="D70" s="7"/>
      <c r="E70" s="1">
        <f t="shared" ref="E70:E84" si="11">O70*0.846</f>
        <v>0</v>
      </c>
      <c r="F70" s="1">
        <f t="shared" ref="F70:F84" si="12">A70*0.27*0.7+M70*0.1+O70*0.0588+P70*0.18+Q70*0.27+R70*0.33+S70*0.344+T70*0.005*0.434</f>
        <v>1.4740100000000003</v>
      </c>
      <c r="G70" s="1">
        <f t="shared" ref="G70:G84" si="13">A70*0.921*0.7+M70*0.51+O70*0.396+P70*1.06+Q70*0.96+R70*0.921+S70*1.02+T70*0.005*1.575</f>
        <v>6.0316799999999997</v>
      </c>
      <c r="H70" s="1">
        <f t="shared" ref="H70:H84" si="14">A70*1.11*0.7+M70*1.5+P70*1.11+Q70*1.11+R70*1.11+S70*1.11</f>
        <v>11.634930000000001</v>
      </c>
      <c r="I70" s="4"/>
      <c r="J70" s="39">
        <f t="shared" ref="J70:J84" si="15">ROUND(A70*$A$3+M70*$M$3+N70*$N$3+O70*$O$3+P70*$P$3+Q70*$Q$3+R70*$R$3+S70*$S$3+T70*$T$3+U70*$U$3+V70*$V$3+W70*$W$3+X70*$X$3+K70*$K$3+I70*$I$3,2)</f>
        <v>3538.55</v>
      </c>
      <c r="K70" s="4"/>
      <c r="L70" s="1">
        <f t="shared" ref="L70:L84" si="16">O70*0.0282</f>
        <v>0</v>
      </c>
      <c r="M70" s="5">
        <v>5.12</v>
      </c>
      <c r="N70" s="6">
        <f>17.52/3</f>
        <v>5.84</v>
      </c>
      <c r="O70" s="6"/>
      <c r="P70" s="6"/>
      <c r="Q70" s="3">
        <v>3.5630000000000002</v>
      </c>
      <c r="R70" s="6"/>
      <c r="S70" s="6"/>
      <c r="T70" s="6"/>
      <c r="U70" s="6"/>
      <c r="V70" s="6"/>
      <c r="W70" s="6"/>
      <c r="X70" s="3"/>
    </row>
    <row r="71" spans="1:24" ht="16.5" thickBot="1" x14ac:dyDescent="0.3">
      <c r="A71" s="3"/>
      <c r="B71" s="3"/>
      <c r="C71" s="2" t="s">
        <v>62</v>
      </c>
      <c r="D71" s="7"/>
      <c r="E71" s="1">
        <f t="shared" si="11"/>
        <v>0</v>
      </c>
      <c r="F71" s="1">
        <f t="shared" si="12"/>
        <v>2.41967</v>
      </c>
      <c r="G71" s="1">
        <f t="shared" si="13"/>
        <v>9.9546600000000005</v>
      </c>
      <c r="H71" s="1">
        <f t="shared" si="14"/>
        <v>19.47531</v>
      </c>
      <c r="I71" s="4"/>
      <c r="J71" s="39">
        <f t="shared" si="15"/>
        <v>5739.62</v>
      </c>
      <c r="K71" s="4"/>
      <c r="L71" s="1">
        <f t="shared" si="16"/>
        <v>0</v>
      </c>
      <c r="M71" s="5">
        <v>8.75</v>
      </c>
      <c r="N71" s="6">
        <f>23.5/3</f>
        <v>7.833333333333333</v>
      </c>
      <c r="O71" s="6"/>
      <c r="P71" s="6"/>
      <c r="Q71" s="3">
        <v>5.7210000000000001</v>
      </c>
      <c r="R71" s="6"/>
      <c r="S71" s="6"/>
      <c r="T71" s="6"/>
      <c r="U71" s="6"/>
      <c r="V71" s="6"/>
      <c r="W71" s="6"/>
      <c r="X71" s="3"/>
    </row>
    <row r="72" spans="1:24" ht="16.5" thickBot="1" x14ac:dyDescent="0.3">
      <c r="A72" s="3"/>
      <c r="B72" s="3"/>
      <c r="C72" s="56" t="s">
        <v>108</v>
      </c>
      <c r="D72" s="65"/>
      <c r="E72" s="57">
        <f t="shared" si="11"/>
        <v>0</v>
      </c>
      <c r="F72" s="57">
        <f t="shared" si="12"/>
        <v>0</v>
      </c>
      <c r="G72" s="57">
        <f t="shared" si="13"/>
        <v>0</v>
      </c>
      <c r="H72" s="57">
        <f t="shared" si="14"/>
        <v>0</v>
      </c>
      <c r="I72" s="64"/>
      <c r="J72" s="39">
        <f t="shared" si="15"/>
        <v>0</v>
      </c>
      <c r="K72" s="58"/>
      <c r="L72" s="57">
        <f t="shared" si="16"/>
        <v>0</v>
      </c>
      <c r="M72" s="59"/>
      <c r="N72" s="59"/>
      <c r="O72" s="60"/>
      <c r="P72" s="61"/>
      <c r="Q72" s="62"/>
      <c r="R72" s="59"/>
      <c r="S72" s="59"/>
      <c r="T72" s="59"/>
      <c r="U72" s="59"/>
      <c r="V72" s="59"/>
      <c r="W72" s="59"/>
      <c r="X72" s="62"/>
    </row>
    <row r="73" spans="1:24" ht="16.5" thickBot="1" x14ac:dyDescent="0.3">
      <c r="A73" s="3"/>
      <c r="B73" s="3"/>
      <c r="C73" s="56" t="s">
        <v>109</v>
      </c>
      <c r="D73" s="65"/>
      <c r="E73" s="57">
        <f t="shared" si="11"/>
        <v>0</v>
      </c>
      <c r="F73" s="57">
        <f t="shared" si="12"/>
        <v>0</v>
      </c>
      <c r="G73" s="57">
        <f t="shared" si="13"/>
        <v>0</v>
      </c>
      <c r="H73" s="57">
        <f t="shared" si="14"/>
        <v>0</v>
      </c>
      <c r="I73" s="64"/>
      <c r="J73" s="39">
        <f t="shared" si="15"/>
        <v>0</v>
      </c>
      <c r="K73" s="58"/>
      <c r="L73" s="57">
        <f t="shared" si="16"/>
        <v>0</v>
      </c>
      <c r="M73" s="59"/>
      <c r="N73" s="59"/>
      <c r="O73" s="60"/>
      <c r="P73" s="61"/>
      <c r="Q73" s="62"/>
      <c r="R73" s="59"/>
      <c r="S73" s="59"/>
      <c r="T73" s="59"/>
      <c r="U73" s="59"/>
      <c r="V73" s="59"/>
      <c r="W73" s="59"/>
      <c r="X73" s="62"/>
    </row>
    <row r="74" spans="1:24" ht="16.5" thickBot="1" x14ac:dyDescent="0.3">
      <c r="A74" s="3"/>
      <c r="B74" s="3"/>
      <c r="C74" s="56" t="s">
        <v>110</v>
      </c>
      <c r="D74" s="65"/>
      <c r="E74" s="57">
        <f t="shared" si="11"/>
        <v>0</v>
      </c>
      <c r="F74" s="57">
        <f t="shared" si="12"/>
        <v>0</v>
      </c>
      <c r="G74" s="57">
        <f t="shared" si="13"/>
        <v>0</v>
      </c>
      <c r="H74" s="57">
        <f t="shared" si="14"/>
        <v>0</v>
      </c>
      <c r="I74" s="64"/>
      <c r="J74" s="39">
        <f t="shared" si="15"/>
        <v>0</v>
      </c>
      <c r="K74" s="58"/>
      <c r="L74" s="57">
        <f t="shared" si="16"/>
        <v>0</v>
      </c>
      <c r="M74" s="59"/>
      <c r="N74" s="59"/>
      <c r="O74" s="60"/>
      <c r="P74" s="61"/>
      <c r="Q74" s="62"/>
      <c r="R74" s="59"/>
      <c r="S74" s="59"/>
      <c r="T74" s="59"/>
      <c r="U74" s="59"/>
      <c r="V74" s="59"/>
      <c r="W74" s="59"/>
      <c r="X74" s="62"/>
    </row>
    <row r="75" spans="1:24" ht="16.5" thickBot="1" x14ac:dyDescent="0.3">
      <c r="A75" s="3"/>
      <c r="B75" s="3"/>
      <c r="C75" s="56" t="s">
        <v>111</v>
      </c>
      <c r="D75" s="65"/>
      <c r="E75" s="57">
        <f t="shared" si="11"/>
        <v>0</v>
      </c>
      <c r="F75" s="57">
        <f t="shared" si="12"/>
        <v>0</v>
      </c>
      <c r="G75" s="57">
        <f t="shared" si="13"/>
        <v>0</v>
      </c>
      <c r="H75" s="57">
        <f t="shared" si="14"/>
        <v>0</v>
      </c>
      <c r="I75" s="64"/>
      <c r="J75" s="39">
        <f t="shared" si="15"/>
        <v>0</v>
      </c>
      <c r="K75" s="58"/>
      <c r="L75" s="57">
        <f t="shared" si="16"/>
        <v>0</v>
      </c>
      <c r="M75" s="59"/>
      <c r="N75" s="59"/>
      <c r="O75" s="60"/>
      <c r="P75" s="61"/>
      <c r="Q75" s="62"/>
      <c r="R75" s="59"/>
      <c r="S75" s="59"/>
      <c r="T75" s="59"/>
      <c r="U75" s="59"/>
      <c r="V75" s="59"/>
      <c r="W75" s="59"/>
      <c r="X75" s="62"/>
    </row>
    <row r="76" spans="1:24" ht="16.5" thickBot="1" x14ac:dyDescent="0.3">
      <c r="A76" s="3"/>
      <c r="B76" s="3"/>
      <c r="C76" s="56" t="s">
        <v>112</v>
      </c>
      <c r="D76" s="65"/>
      <c r="E76" s="57">
        <f t="shared" si="11"/>
        <v>0</v>
      </c>
      <c r="F76" s="57">
        <f t="shared" si="12"/>
        <v>0</v>
      </c>
      <c r="G76" s="57">
        <f t="shared" si="13"/>
        <v>0</v>
      </c>
      <c r="H76" s="57">
        <f t="shared" si="14"/>
        <v>0</v>
      </c>
      <c r="I76" s="64"/>
      <c r="J76" s="39">
        <f t="shared" si="15"/>
        <v>0</v>
      </c>
      <c r="K76" s="58"/>
      <c r="L76" s="57">
        <f t="shared" si="16"/>
        <v>0</v>
      </c>
      <c r="M76" s="59"/>
      <c r="N76" s="59"/>
      <c r="O76" s="60"/>
      <c r="P76" s="61"/>
      <c r="Q76" s="62"/>
      <c r="R76" s="59"/>
      <c r="S76" s="59"/>
      <c r="T76" s="59"/>
      <c r="U76" s="59"/>
      <c r="V76" s="59"/>
      <c r="W76" s="59"/>
      <c r="X76" s="62"/>
    </row>
    <row r="77" spans="1:24" ht="16.5" thickBot="1" x14ac:dyDescent="0.3">
      <c r="A77" s="3"/>
      <c r="B77" s="3"/>
      <c r="C77" s="56" t="s">
        <v>113</v>
      </c>
      <c r="D77" s="65"/>
      <c r="E77" s="57">
        <f t="shared" si="11"/>
        <v>0</v>
      </c>
      <c r="F77" s="57">
        <f t="shared" si="12"/>
        <v>0</v>
      </c>
      <c r="G77" s="57">
        <f t="shared" si="13"/>
        <v>0</v>
      </c>
      <c r="H77" s="57">
        <f t="shared" si="14"/>
        <v>0</v>
      </c>
      <c r="I77" s="64"/>
      <c r="J77" s="39">
        <f t="shared" si="15"/>
        <v>0</v>
      </c>
      <c r="K77" s="58"/>
      <c r="L77" s="57">
        <f t="shared" si="16"/>
        <v>0</v>
      </c>
      <c r="M77" s="59"/>
      <c r="N77" s="59"/>
      <c r="O77" s="60"/>
      <c r="P77" s="61"/>
      <c r="Q77" s="62"/>
      <c r="R77" s="59"/>
      <c r="S77" s="59"/>
      <c r="T77" s="59"/>
      <c r="U77" s="59"/>
      <c r="V77" s="59"/>
      <c r="W77" s="59"/>
      <c r="X77" s="62"/>
    </row>
    <row r="78" spans="1:24" ht="16.5" thickBot="1" x14ac:dyDescent="0.3">
      <c r="A78" s="3"/>
      <c r="B78" s="3"/>
      <c r="C78" s="56" t="s">
        <v>114</v>
      </c>
      <c r="D78" s="65"/>
      <c r="E78" s="57">
        <f t="shared" si="11"/>
        <v>0</v>
      </c>
      <c r="F78" s="57">
        <f t="shared" si="12"/>
        <v>0</v>
      </c>
      <c r="G78" s="57">
        <f t="shared" si="13"/>
        <v>0</v>
      </c>
      <c r="H78" s="57">
        <f t="shared" si="14"/>
        <v>0</v>
      </c>
      <c r="I78" s="64"/>
      <c r="J78" s="39">
        <f t="shared" si="15"/>
        <v>0</v>
      </c>
      <c r="K78" s="58"/>
      <c r="L78" s="57">
        <f t="shared" si="16"/>
        <v>0</v>
      </c>
      <c r="M78" s="59"/>
      <c r="N78" s="59"/>
      <c r="O78" s="60"/>
      <c r="P78" s="61"/>
      <c r="Q78" s="62"/>
      <c r="R78" s="59"/>
      <c r="S78" s="59"/>
      <c r="T78" s="59"/>
      <c r="U78" s="59"/>
      <c r="V78" s="59"/>
      <c r="W78" s="59"/>
      <c r="X78" s="62"/>
    </row>
    <row r="79" spans="1:24" ht="16.5" thickBot="1" x14ac:dyDescent="0.3">
      <c r="A79" s="3"/>
      <c r="B79" s="3"/>
      <c r="C79" s="56" t="s">
        <v>115</v>
      </c>
      <c r="D79" s="65"/>
      <c r="E79" s="57">
        <f t="shared" si="11"/>
        <v>0</v>
      </c>
      <c r="F79" s="57">
        <f t="shared" si="12"/>
        <v>0</v>
      </c>
      <c r="G79" s="57">
        <f t="shared" si="13"/>
        <v>0</v>
      </c>
      <c r="H79" s="57">
        <f t="shared" si="14"/>
        <v>0</v>
      </c>
      <c r="I79" s="64"/>
      <c r="J79" s="39">
        <f t="shared" si="15"/>
        <v>0</v>
      </c>
      <c r="K79" s="58"/>
      <c r="L79" s="57">
        <f t="shared" si="16"/>
        <v>0</v>
      </c>
      <c r="M79" s="59"/>
      <c r="N79" s="59"/>
      <c r="O79" s="60"/>
      <c r="P79" s="61"/>
      <c r="Q79" s="62"/>
      <c r="R79" s="59"/>
      <c r="S79" s="59"/>
      <c r="T79" s="59"/>
      <c r="U79" s="59"/>
      <c r="V79" s="59"/>
      <c r="W79" s="59"/>
      <c r="X79" s="62"/>
    </row>
    <row r="80" spans="1:24" ht="16.5" thickBot="1" x14ac:dyDescent="0.3">
      <c r="A80" s="3"/>
      <c r="B80" s="3"/>
      <c r="C80" s="56" t="s">
        <v>116</v>
      </c>
      <c r="D80" s="65"/>
      <c r="E80" s="57">
        <f t="shared" si="11"/>
        <v>0</v>
      </c>
      <c r="F80" s="57">
        <f t="shared" si="12"/>
        <v>0</v>
      </c>
      <c r="G80" s="57">
        <f t="shared" si="13"/>
        <v>0</v>
      </c>
      <c r="H80" s="57">
        <f t="shared" si="14"/>
        <v>0</v>
      </c>
      <c r="I80" s="64"/>
      <c r="J80" s="39">
        <f t="shared" si="15"/>
        <v>0</v>
      </c>
      <c r="K80" s="58"/>
      <c r="L80" s="57">
        <f t="shared" si="16"/>
        <v>0</v>
      </c>
      <c r="M80" s="59"/>
      <c r="N80" s="59"/>
      <c r="O80" s="60"/>
      <c r="P80" s="61"/>
      <c r="Q80" s="62"/>
      <c r="R80" s="59"/>
      <c r="S80" s="59"/>
      <c r="T80" s="59"/>
      <c r="U80" s="59"/>
      <c r="V80" s="59"/>
      <c r="W80" s="59"/>
      <c r="X80" s="62"/>
    </row>
    <row r="81" spans="1:24" ht="16.5" thickBot="1" x14ac:dyDescent="0.3">
      <c r="A81" s="3"/>
      <c r="B81" s="3"/>
      <c r="C81" s="56" t="s">
        <v>117</v>
      </c>
      <c r="D81" s="65"/>
      <c r="E81" s="57">
        <f t="shared" si="11"/>
        <v>0</v>
      </c>
      <c r="F81" s="57">
        <f t="shared" si="12"/>
        <v>0</v>
      </c>
      <c r="G81" s="57">
        <f t="shared" si="13"/>
        <v>0</v>
      </c>
      <c r="H81" s="57">
        <f t="shared" si="14"/>
        <v>0</v>
      </c>
      <c r="I81" s="64"/>
      <c r="J81" s="39">
        <f t="shared" si="15"/>
        <v>0</v>
      </c>
      <c r="K81" s="58"/>
      <c r="L81" s="57">
        <f t="shared" si="16"/>
        <v>0</v>
      </c>
      <c r="M81" s="59"/>
      <c r="N81" s="59"/>
      <c r="O81" s="60"/>
      <c r="P81" s="61"/>
      <c r="Q81" s="62"/>
      <c r="R81" s="59"/>
      <c r="S81" s="59"/>
      <c r="T81" s="59"/>
      <c r="U81" s="59"/>
      <c r="V81" s="59"/>
      <c r="W81" s="59"/>
      <c r="X81" s="62"/>
    </row>
    <row r="82" spans="1:24" ht="15" customHeight="1" thickBot="1" x14ac:dyDescent="0.3">
      <c r="A82" s="3"/>
      <c r="B82" s="3"/>
      <c r="C82" s="56"/>
      <c r="D82" s="65"/>
      <c r="E82" s="57">
        <f t="shared" si="11"/>
        <v>0</v>
      </c>
      <c r="F82" s="57">
        <f t="shared" si="12"/>
        <v>0</v>
      </c>
      <c r="G82" s="57">
        <f t="shared" si="13"/>
        <v>0</v>
      </c>
      <c r="H82" s="57">
        <f t="shared" si="14"/>
        <v>0</v>
      </c>
      <c r="I82" s="64"/>
      <c r="J82" s="39">
        <f t="shared" si="15"/>
        <v>0</v>
      </c>
      <c r="K82" s="58"/>
      <c r="L82" s="57">
        <f t="shared" si="16"/>
        <v>0</v>
      </c>
      <c r="M82" s="59"/>
      <c r="N82" s="63"/>
      <c r="O82" s="63"/>
      <c r="P82" s="61"/>
      <c r="Q82" s="61"/>
      <c r="R82" s="61"/>
      <c r="S82" s="61"/>
      <c r="T82" s="61"/>
      <c r="U82" s="61"/>
      <c r="V82" s="61"/>
      <c r="W82" s="61"/>
      <c r="X82" s="61"/>
    </row>
    <row r="83" spans="1:24" ht="15" customHeight="1" thickBot="1" x14ac:dyDescent="0.3">
      <c r="A83" s="3"/>
      <c r="B83" s="3"/>
      <c r="C83" s="56"/>
      <c r="D83" s="65"/>
      <c r="E83" s="57">
        <f t="shared" si="11"/>
        <v>0</v>
      </c>
      <c r="F83" s="57">
        <f t="shared" si="12"/>
        <v>0</v>
      </c>
      <c r="G83" s="57">
        <f t="shared" si="13"/>
        <v>0</v>
      </c>
      <c r="H83" s="57">
        <f t="shared" si="14"/>
        <v>0</v>
      </c>
      <c r="I83" s="64"/>
      <c r="J83" s="39">
        <f t="shared" si="15"/>
        <v>0</v>
      </c>
      <c r="K83" s="58"/>
      <c r="L83" s="57">
        <f t="shared" si="16"/>
        <v>0</v>
      </c>
      <c r="M83" s="59"/>
      <c r="N83" s="63"/>
      <c r="O83" s="63"/>
      <c r="P83" s="61"/>
      <c r="Q83" s="61"/>
      <c r="R83" s="61"/>
      <c r="S83" s="61"/>
      <c r="T83" s="61"/>
      <c r="U83" s="61"/>
      <c r="V83" s="61"/>
      <c r="W83" s="61"/>
      <c r="X83" s="61"/>
    </row>
    <row r="84" spans="1:24" ht="15" customHeight="1" thickBot="1" x14ac:dyDescent="0.3">
      <c r="A84" s="3"/>
      <c r="B84" s="3"/>
      <c r="C84" s="56"/>
      <c r="D84" s="65"/>
      <c r="E84" s="57">
        <f t="shared" si="11"/>
        <v>0</v>
      </c>
      <c r="F84" s="57">
        <f t="shared" si="12"/>
        <v>0</v>
      </c>
      <c r="G84" s="57">
        <f t="shared" si="13"/>
        <v>0</v>
      </c>
      <c r="H84" s="57">
        <f t="shared" si="14"/>
        <v>0</v>
      </c>
      <c r="I84" s="64"/>
      <c r="J84" s="39">
        <f t="shared" si="15"/>
        <v>0</v>
      </c>
      <c r="K84" s="58"/>
      <c r="L84" s="57">
        <f t="shared" si="16"/>
        <v>0</v>
      </c>
      <c r="M84" s="59"/>
      <c r="N84" s="63"/>
      <c r="O84" s="63"/>
      <c r="P84" s="61"/>
      <c r="Q84" s="61"/>
      <c r="R84" s="61"/>
      <c r="S84" s="61"/>
      <c r="T84" s="61"/>
      <c r="U84" s="61"/>
      <c r="V84" s="61"/>
      <c r="W84" s="61"/>
      <c r="X84" s="61"/>
    </row>
    <row r="85" spans="1:24" ht="19.5" customHeight="1" x14ac:dyDescent="0.25">
      <c r="A85" s="3"/>
      <c r="B85" s="3"/>
      <c r="C85" s="19"/>
      <c r="D85" s="19"/>
      <c r="E85" s="20"/>
      <c r="F85" s="20"/>
      <c r="G85" s="21"/>
      <c r="H85" s="21"/>
      <c r="I85" s="21"/>
      <c r="J85" s="5"/>
      <c r="K85" s="21" t="s">
        <v>21</v>
      </c>
      <c r="L85" s="21" t="s">
        <v>151</v>
      </c>
      <c r="M85" s="21" t="s">
        <v>22</v>
      </c>
      <c r="N85" s="21" t="s">
        <v>23</v>
      </c>
      <c r="O85" s="21" t="s">
        <v>24</v>
      </c>
      <c r="P85" s="21" t="s">
        <v>25</v>
      </c>
      <c r="Q85" s="21" t="s">
        <v>26</v>
      </c>
      <c r="R85" s="21" t="s">
        <v>27</v>
      </c>
      <c r="S85" s="21" t="s">
        <v>28</v>
      </c>
      <c r="T85" s="21" t="s">
        <v>146</v>
      </c>
      <c r="U85" s="21" t="s">
        <v>152</v>
      </c>
      <c r="V85" s="21" t="s">
        <v>153</v>
      </c>
      <c r="W85" s="21" t="s">
        <v>154</v>
      </c>
      <c r="X85" s="22" t="s">
        <v>155</v>
      </c>
    </row>
    <row r="86" spans="1:24" ht="15" x14ac:dyDescent="0.2">
      <c r="A86" s="22"/>
      <c r="B86" s="22"/>
      <c r="C86" s="23"/>
      <c r="D86" s="23"/>
      <c r="E86" s="23"/>
      <c r="F86" s="24"/>
      <c r="G86" s="23"/>
      <c r="H86" s="23"/>
      <c r="I86" s="23"/>
      <c r="J86" s="25"/>
      <c r="K86" s="26"/>
      <c r="L86" s="23"/>
      <c r="M86" s="24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2"/>
    </row>
  </sheetData>
  <sheetProtection algorithmName="SHA-512" hashValue="e5kMYbAlJjbng6sFXyRWYxWsx3ValefdZR3BPyrpFKF0x6kcVni+Otj1aEEebz7ndVHE2FPkwCdelgNRZ/iHlg==" saltValue="59AGAeNPAeeD93dWEBG4Ug==" spinCount="100000" sheet="1" objects="1" scenarios="1" formatColumns="0" formatRows="0" autoFilter="0"/>
  <autoFilter ref="A4:Z4" xr:uid="{00000000-0009-0000-0000-000019000000}"/>
  <phoneticPr fontId="0" type="noConversion"/>
  <printOptions horizontalCentered="1" verticalCentered="1" gridLines="1" gridLinesSet="0"/>
  <pageMargins left="0.78740157480314965" right="0.6692913385826772" top="1.1811023622047245" bottom="0.98425196850393704" header="0.70866141732283472" footer="0.51181102362204722"/>
  <pageSetup paperSize="9" scale="31" orientation="landscape" horizontalDpi="4294967292" verticalDpi="180" r:id="rId1"/>
  <headerFooter alignWithMargins="0">
    <oddHeader>&amp;C&amp;"Arial,Negrito"&amp;14&amp;A</oddHeader>
    <oddFooter>&amp;C&amp;"Arial,Negrito"&amp;14&amp;F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 de serviços</vt:lpstr>
      <vt:lpstr>ENSAIOS DE ORÇAMENTO</vt:lpstr>
      <vt:lpstr>'planilha de serviços'!Area_de_impressao</vt:lpstr>
      <vt:lpstr>'planilha de serviços'!Titulos_de_impressao</vt:lpstr>
    </vt:vector>
  </TitlesOfParts>
  <Manager>COP</Manager>
  <Company>PARANACIDADE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OrçaPAV - fev/2023</dc:title>
  <dc:subject>Orçamento de Pavimentação e Recape</dc:subject>
  <dc:creator>Roberto Chun Yan Pan</dc:creator>
  <cp:keywords>Paranacidade</cp:keywords>
  <cp:lastModifiedBy>Vera Maria Wendler</cp:lastModifiedBy>
  <cp:lastPrinted>2023-08-04T17:41:08Z</cp:lastPrinted>
  <dcterms:created xsi:type="dcterms:W3CDTF">2008-09-16T14:08:54Z</dcterms:created>
  <dcterms:modified xsi:type="dcterms:W3CDTF">2023-08-07T17:25:57Z</dcterms:modified>
</cp:coreProperties>
</file>